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212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'List1'!$20:$20</definedName>
  </definedNames>
  <calcPr fullCalcOnLoad="1"/>
</workbook>
</file>

<file path=xl/sharedStrings.xml><?xml version="1.0" encoding="utf-8"?>
<sst xmlns="http://schemas.openxmlformats.org/spreadsheetml/2006/main" count="244" uniqueCount="98">
  <si>
    <t>VRSTA PRIHODA / PRIMITAKA</t>
  </si>
  <si>
    <t>PRIHODI POSLOVANJA</t>
  </si>
  <si>
    <t>PRIHODI OD POREZA</t>
  </si>
  <si>
    <t>PRIHODI OD IMOVINE</t>
  </si>
  <si>
    <t>PRIHODI OD ADMINISTRATIVNIH PRISTOJBI I PO POSEBNIM PROPISIMA</t>
  </si>
  <si>
    <t>OSTALI PRIHODI</t>
  </si>
  <si>
    <t>PRIHODI OD PRODAJE NEFINANCIJSKE IMOVINE</t>
  </si>
  <si>
    <t>PRIHODI OD PRODAJE PROIZVEDENE DUGOTRAJNE IMOVINE</t>
  </si>
  <si>
    <t>VRSTA RASHODA / IZDATAKA</t>
  </si>
  <si>
    <t>UKUPNO RASHODI / IZDACI</t>
  </si>
  <si>
    <t>Razdjel  001</t>
  </si>
  <si>
    <t>UPRAVNI ODJEL ZA POSLOVE GRADONAČELNIKA</t>
  </si>
  <si>
    <t>Glava  01</t>
  </si>
  <si>
    <t>URED GRADONAČELNIKA</t>
  </si>
  <si>
    <t>RASHODI POSLOVANJA</t>
  </si>
  <si>
    <t>MATERIJALNI RASHODI</t>
  </si>
  <si>
    <t>OSTALI RASHODI</t>
  </si>
  <si>
    <t>Glava  02</t>
  </si>
  <si>
    <t>MJESNI ODBORI I GRADSKE ČETVRTI</t>
  </si>
  <si>
    <t>Glava  03</t>
  </si>
  <si>
    <t>VATROGASNE SLUŽBE</t>
  </si>
  <si>
    <t>KORISNIK  01</t>
  </si>
  <si>
    <t>JAVNA VATROGASNA POSTROJBA</t>
  </si>
  <si>
    <t>RASHODI ZA ZAPOSLENE</t>
  </si>
  <si>
    <t>FINANCIJSKI RASHODI</t>
  </si>
  <si>
    <t>RASHODI ZA NABAVU NEFINANCIJSKE IMOVINE</t>
  </si>
  <si>
    <t>RASHODI ZA NABAVU PROIZVEDENE DUGOTRAJNE IMOVINE</t>
  </si>
  <si>
    <t>OSTALI KORISNICI  02</t>
  </si>
  <si>
    <t>VATROGASNA ZAJEDNICA GRADA</t>
  </si>
  <si>
    <t>Glava  04</t>
  </si>
  <si>
    <t>KOMUNALNO REDARSTVO, ZAŠTITA I SPAŠAVANJE</t>
  </si>
  <si>
    <t>Razdjel  002</t>
  </si>
  <si>
    <t>UPRAVNI ODJEL ZA PRORAČUN I FINANCIJE</t>
  </si>
  <si>
    <t>UPRAVLJANJE JAVNIM FINANCIJAMA</t>
  </si>
  <si>
    <t>POMOĆI DANE U INOZEMSTVO I UNUTAR OPĆE DRŽAVE</t>
  </si>
  <si>
    <t>IZDACI ZA FINANCIJSKU IMOVINU I OTPLATE ZAJMOVA</t>
  </si>
  <si>
    <t>INFORMATIZACIJA GRADSKE UPRAVE</t>
  </si>
  <si>
    <t>Razdjel  003</t>
  </si>
  <si>
    <t>KOMUNALNO ODRŽAVANJE I POSLOVNI PROSTORI GRADA</t>
  </si>
  <si>
    <t>RASHODI ZA DODATNA ULAGANJA NA NEFINANCIJSKOJ IMOVINI</t>
  </si>
  <si>
    <t>PROSTORNO PLANIRANJE I UREĐENJE GRADA</t>
  </si>
  <si>
    <t>PROMET</t>
  </si>
  <si>
    <t>SUBVENCIJE</t>
  </si>
  <si>
    <t>GRADNJA</t>
  </si>
  <si>
    <t>Glava  05</t>
  </si>
  <si>
    <t>ZAŠTITA OKOLIŠA</t>
  </si>
  <si>
    <t>NAKNADE GRAĐANIMA I KUĆANSTVIMA NA TEMELJU OSIGURANJA I DRUGE NAKNADE</t>
  </si>
  <si>
    <t>Razdjel  004</t>
  </si>
  <si>
    <t>UPRAVNI ODJEL ZA PODUZETNIŠTVO I POLJOPRIVREDU</t>
  </si>
  <si>
    <t>PODUZETNIŠTVO I TURIZAM</t>
  </si>
  <si>
    <t>POLJOPRIVREDA</t>
  </si>
  <si>
    <t>EUROPSKE INTEGRACIJE</t>
  </si>
  <si>
    <t>Razdjel  005</t>
  </si>
  <si>
    <t>UPRAVNI ODJEL ZA DRUŠTVENE DJELATNOSTI</t>
  </si>
  <si>
    <t>ODGOJ I OBRAZOVANJE</t>
  </si>
  <si>
    <t>Podglava  01</t>
  </si>
  <si>
    <t>OSNOVNO ŠKOLSTVO</t>
  </si>
  <si>
    <t>DJEČJI VRTIĆ KARLOVAC</t>
  </si>
  <si>
    <t>KULTURA</t>
  </si>
  <si>
    <t>GRADSKA KNJIŽNICA "I.GORAN KOVAČIĆ"</t>
  </si>
  <si>
    <t>KORISNIK  02</t>
  </si>
  <si>
    <t>GRADSKI MUZEJ</t>
  </si>
  <si>
    <t>KORISNIK  03</t>
  </si>
  <si>
    <t>GRADSKO KAZALIŠTE</t>
  </si>
  <si>
    <t>OSTALI KORISNICI  04</t>
  </si>
  <si>
    <t>ZAJEDNICA AMATERSKIH KULTURNIH DJELATNOSTI</t>
  </si>
  <si>
    <t>KORISNIK  05</t>
  </si>
  <si>
    <t>KORISNICI JAVNIH POTREBA U KULTURI</t>
  </si>
  <si>
    <t>SOCIJALNA SKRB I ZDRAVSTVO</t>
  </si>
  <si>
    <t>ŠPORT I TEHNIČKA KULTURA</t>
  </si>
  <si>
    <t>UDRUGE</t>
  </si>
  <si>
    <t>Razdjel  006</t>
  </si>
  <si>
    <t>UPRAVNI ODJEL ZA OPĆE I IMOVINSKO PRAVNE POSLOVE</t>
  </si>
  <si>
    <t>GRADSKO VIJEĆE</t>
  </si>
  <si>
    <t>INFORMIRANJE</t>
  </si>
  <si>
    <t>STRUČNE SLUŽBE - ZAJEDNIČKI RASHODI</t>
  </si>
  <si>
    <t>RASHODI ZA NABAVU PLEMENITIH METALA I OSTALIH POHRANJENIH VRIJEDNOSTI</t>
  </si>
  <si>
    <t>IMOVINSKO PRAVNI POSLOVI I UPRAVLJANJE IMOVINOM</t>
  </si>
  <si>
    <t>PROJEKCIJA 2012</t>
  </si>
  <si>
    <t>KONTO</t>
  </si>
  <si>
    <t>INDEKS</t>
  </si>
  <si>
    <t>4/3</t>
  </si>
  <si>
    <t>5/4</t>
  </si>
  <si>
    <t>PROJEKCIJA PRORAČUNA GRADA KARLOVCA ZA 2012. i  2013. GODINU</t>
  </si>
  <si>
    <t>PLAN 2011</t>
  </si>
  <si>
    <t>PROJEKCIJA 2013</t>
  </si>
  <si>
    <t>PROIZVEDENA DUGOTRAJNA IMOVINA</t>
  </si>
  <si>
    <t>POMOĆI IZ INOZEMSTVA (DAROVNICE) I OD SUBJEKATA UNUTAR OPĆE DRŽAVE</t>
  </si>
  <si>
    <t>PRIHODI OD PRODAJE NEPROIZVEDENE DUGOTRAJNE IMOVINE</t>
  </si>
  <si>
    <t>RASHODI ZA NABAVU NEPROIZVEDENE DUGOTRAJNE IMOVINE</t>
  </si>
  <si>
    <t>IZDACI ZA OTPLATU GLAVNICA PRIMLJENIH ZAJMOVA</t>
  </si>
  <si>
    <t>KAZNE, UPRAVNE MJERE I OSTALI PRIHODI</t>
  </si>
  <si>
    <t>UKUPNO PRIHODI I PRIMICI</t>
  </si>
  <si>
    <t>UPRAVNI ODJEL ZA KOMUN. GOSPODARSTVO, PROSTORNO UREĐENJE I ZAŠTITU OKOLIŠA</t>
  </si>
  <si>
    <t>OZNAKA</t>
  </si>
  <si>
    <t>PRIHODI</t>
  </si>
  <si>
    <t>RASHODI</t>
  </si>
  <si>
    <t>KORISNIK 02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</si>
</sst>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4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0" fillId="0" borderId="10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/>
    </xf>
    <xf numFmtId="164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11" xfId="0" applyFont="1" applyFill="1" applyBorder="1" applyAlignment="1">
      <alignment horizontal="center" wrapText="1"/>
    </xf>
    <xf numFmtId="3" fontId="1" fillId="0" borderId="12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13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1" fillId="0" borderId="14" xfId="0" applyFont="1" applyFill="1" applyBorder="1" applyAlignment="1">
      <alignment wrapText="1"/>
    </xf>
    <xf numFmtId="3" fontId="1" fillId="0" borderId="14" xfId="0" applyNumberFormat="1" applyFont="1" applyFill="1" applyBorder="1" applyAlignment="1">
      <alignment wrapText="1"/>
    </xf>
    <xf numFmtId="164" fontId="1" fillId="0" borderId="14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5" xfId="0" applyNumberFormat="1" applyFont="1" applyFill="1" applyBorder="1" applyAlignment="1">
      <alignment wrapText="1"/>
    </xf>
    <xf numFmtId="0" fontId="1" fillId="0" borderId="17" xfId="0" applyFont="1" applyFill="1" applyBorder="1" applyAlignment="1">
      <alignment horizontal="center" wrapText="1"/>
    </xf>
    <xf numFmtId="3" fontId="1" fillId="0" borderId="18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8" fillId="0" borderId="15" xfId="0" applyFont="1" applyFill="1" applyBorder="1" applyAlignment="1">
      <alignment wrapText="1"/>
    </xf>
    <xf numFmtId="3" fontId="8" fillId="0" borderId="15" xfId="0" applyNumberFormat="1" applyFont="1" applyFill="1" applyBorder="1" applyAlignment="1">
      <alignment wrapText="1"/>
    </xf>
    <xf numFmtId="164" fontId="8" fillId="0" borderId="15" xfId="0" applyNumberFormat="1" applyFont="1" applyBorder="1" applyAlignment="1">
      <alignment horizontal="center" wrapText="1"/>
    </xf>
    <xf numFmtId="0" fontId="7" fillId="0" borderId="15" xfId="0" applyFont="1" applyFill="1" applyBorder="1" applyAlignment="1">
      <alignment wrapText="1"/>
    </xf>
    <xf numFmtId="3" fontId="7" fillId="0" borderId="15" xfId="0" applyNumberFormat="1" applyFont="1" applyFill="1" applyBorder="1" applyAlignment="1">
      <alignment wrapText="1"/>
    </xf>
    <xf numFmtId="164" fontId="7" fillId="0" borderId="15" xfId="0" applyNumberFormat="1" applyFont="1" applyBorder="1" applyAlignment="1">
      <alignment horizontal="center" wrapText="1"/>
    </xf>
    <xf numFmtId="164" fontId="0" fillId="0" borderId="13" xfId="0" applyNumberFormat="1" applyFont="1" applyBorder="1" applyAlignment="1">
      <alignment horizontal="center" wrapText="1"/>
    </xf>
    <xf numFmtId="0" fontId="7" fillId="0" borderId="19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164" fontId="7" fillId="0" borderId="19" xfId="0" applyNumberFormat="1" applyFont="1" applyBorder="1" applyAlignment="1">
      <alignment horizontal="center" wrapText="1"/>
    </xf>
    <xf numFmtId="0" fontId="8" fillId="0" borderId="19" xfId="0" applyFont="1" applyFill="1" applyBorder="1" applyAlignment="1">
      <alignment wrapText="1"/>
    </xf>
    <xf numFmtId="3" fontId="8" fillId="0" borderId="19" xfId="0" applyNumberFormat="1" applyFont="1" applyFill="1" applyBorder="1" applyAlignment="1">
      <alignment wrapText="1"/>
    </xf>
    <xf numFmtId="164" fontId="8" fillId="0" borderId="19" xfId="0" applyNumberFormat="1" applyFont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wrapText="1"/>
    </xf>
    <xf numFmtId="3" fontId="7" fillId="0" borderId="14" xfId="0" applyNumberFormat="1" applyFont="1" applyFill="1" applyBorder="1" applyAlignment="1">
      <alignment wrapText="1"/>
    </xf>
    <xf numFmtId="164" fontId="7" fillId="0" borderId="14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left" wrapText="1"/>
    </xf>
    <xf numFmtId="164" fontId="0" fillId="0" borderId="22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3" xfId="0" applyFont="1" applyFill="1" applyBorder="1" applyAlignment="1">
      <alignment horizontal="center" wrapText="1"/>
    </xf>
    <xf numFmtId="164" fontId="1" fillId="0" borderId="18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10" fillId="0" borderId="11" xfId="0" applyFont="1" applyBorder="1" applyAlignment="1">
      <alignment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7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10.8515625" style="6" customWidth="1"/>
    <col min="2" max="2" width="36.00390625" style="6" customWidth="1"/>
    <col min="3" max="3" width="11.8515625" style="14" customWidth="1"/>
    <col min="4" max="4" width="13.00390625" style="20" customWidth="1"/>
    <col min="5" max="5" width="14.00390625" style="20" customWidth="1"/>
    <col min="6" max="7" width="7.28125" style="18" customWidth="1"/>
  </cols>
  <sheetData>
    <row r="2" spans="2:6" ht="18" customHeight="1">
      <c r="B2" s="46" t="s">
        <v>83</v>
      </c>
      <c r="C2" s="15"/>
      <c r="D2" s="16"/>
      <c r="E2" s="16"/>
      <c r="F2" s="17"/>
    </row>
    <row r="3" spans="1:4" ht="12.75">
      <c r="A3" s="8"/>
      <c r="B3" s="8"/>
      <c r="C3" s="13"/>
      <c r="D3" s="19"/>
    </row>
    <row r="4" spans="1:7" ht="18" customHeight="1">
      <c r="A4" s="47" t="s">
        <v>95</v>
      </c>
      <c r="B4" s="40"/>
      <c r="C4" s="12"/>
      <c r="D4" s="19"/>
      <c r="F4" s="41"/>
      <c r="G4" s="41"/>
    </row>
    <row r="5" spans="1:7" ht="33" customHeight="1">
      <c r="A5" s="45" t="s">
        <v>79</v>
      </c>
      <c r="B5" s="45" t="s">
        <v>0</v>
      </c>
      <c r="C5" s="43" t="s">
        <v>84</v>
      </c>
      <c r="D5" s="44" t="s">
        <v>78</v>
      </c>
      <c r="E5" s="44" t="s">
        <v>85</v>
      </c>
      <c r="F5" s="74" t="s">
        <v>80</v>
      </c>
      <c r="G5" s="74" t="s">
        <v>80</v>
      </c>
    </row>
    <row r="6" spans="1:7" s="5" customFormat="1" ht="12.75">
      <c r="A6" s="76">
        <v>1</v>
      </c>
      <c r="B6" s="76">
        <v>2</v>
      </c>
      <c r="C6" s="22">
        <v>3</v>
      </c>
      <c r="D6" s="42">
        <v>4</v>
      </c>
      <c r="E6" s="42">
        <v>5</v>
      </c>
      <c r="F6" s="74" t="s">
        <v>81</v>
      </c>
      <c r="G6" s="74" t="s">
        <v>82</v>
      </c>
    </row>
    <row r="7" spans="1:7" ht="25.5" customHeight="1">
      <c r="A7" s="23"/>
      <c r="B7" s="23" t="s">
        <v>92</v>
      </c>
      <c r="C7" s="24">
        <f>+C8+C15</f>
        <v>167941000</v>
      </c>
      <c r="D7" s="24">
        <f>+D8+D15</f>
        <v>169964000</v>
      </c>
      <c r="E7" s="24">
        <f>+E8+E15</f>
        <v>176797000</v>
      </c>
      <c r="F7" s="7">
        <f>D7/C7*100</f>
        <v>101.20458970709952</v>
      </c>
      <c r="G7" s="7">
        <f>E7/D7*100</f>
        <v>104.0202631145419</v>
      </c>
    </row>
    <row r="8" spans="1:7" s="2" customFormat="1" ht="12.75">
      <c r="A8" s="76">
        <v>6</v>
      </c>
      <c r="B8" s="23" t="s">
        <v>1</v>
      </c>
      <c r="C8" s="24">
        <f>SUM(C9:C14)</f>
        <v>163831000</v>
      </c>
      <c r="D8" s="24">
        <f>SUM(D9:D14)</f>
        <v>166614000</v>
      </c>
      <c r="E8" s="24">
        <f>SUM(E9:E14)</f>
        <v>173447000</v>
      </c>
      <c r="F8" s="7">
        <f>D8/C8*100</f>
        <v>101.69870171090942</v>
      </c>
      <c r="G8" s="7">
        <f>E8/D8*100</f>
        <v>104.10109594631905</v>
      </c>
    </row>
    <row r="9" spans="1:7" s="3" customFormat="1" ht="12.75">
      <c r="A9" s="77">
        <v>61</v>
      </c>
      <c r="B9" s="25" t="s">
        <v>2</v>
      </c>
      <c r="C9" s="4">
        <v>96250000</v>
      </c>
      <c r="D9" s="26">
        <f>C9*F9/100</f>
        <v>98175000</v>
      </c>
      <c r="E9" s="26">
        <f>D9*G9/100</f>
        <v>102102000</v>
      </c>
      <c r="F9" s="9">
        <v>102</v>
      </c>
      <c r="G9" s="9">
        <v>104</v>
      </c>
    </row>
    <row r="10" spans="1:7" s="3" customFormat="1" ht="38.25">
      <c r="A10" s="77">
        <v>63</v>
      </c>
      <c r="B10" s="25" t="s">
        <v>87</v>
      </c>
      <c r="C10" s="4">
        <v>25302000</v>
      </c>
      <c r="D10" s="26">
        <v>25189000</v>
      </c>
      <c r="E10" s="26">
        <f aca="true" t="shared" si="0" ref="D10:E13">INT((D10*G10/100)/1000)*1000</f>
        <v>26171000</v>
      </c>
      <c r="F10" s="9">
        <f>D10/C10*100</f>
        <v>99.55339498853846</v>
      </c>
      <c r="G10" s="9">
        <v>103.9</v>
      </c>
    </row>
    <row r="11" spans="1:7" s="3" customFormat="1" ht="19.5" customHeight="1">
      <c r="A11" s="77">
        <v>64</v>
      </c>
      <c r="B11" s="25" t="s">
        <v>3</v>
      </c>
      <c r="C11" s="4">
        <v>9934000</v>
      </c>
      <c r="D11" s="26">
        <f t="shared" si="0"/>
        <v>10132000</v>
      </c>
      <c r="E11" s="26">
        <f t="shared" si="0"/>
        <v>10537000</v>
      </c>
      <c r="F11" s="9">
        <v>102</v>
      </c>
      <c r="G11" s="9">
        <v>104</v>
      </c>
    </row>
    <row r="12" spans="1:7" s="3" customFormat="1" ht="29.25" customHeight="1">
      <c r="A12" s="77">
        <v>65</v>
      </c>
      <c r="B12" s="25" t="s">
        <v>4</v>
      </c>
      <c r="C12" s="4">
        <v>31940000</v>
      </c>
      <c r="D12" s="26">
        <f t="shared" si="0"/>
        <v>32706000</v>
      </c>
      <c r="E12" s="26">
        <f t="shared" si="0"/>
        <v>34210000</v>
      </c>
      <c r="F12" s="9">
        <v>102.4</v>
      </c>
      <c r="G12" s="9">
        <v>104.6</v>
      </c>
    </row>
    <row r="13" spans="1:7" s="3" customFormat="1" ht="20.25" customHeight="1">
      <c r="A13" s="77">
        <v>66</v>
      </c>
      <c r="B13" s="25" t="s">
        <v>5</v>
      </c>
      <c r="C13" s="4">
        <v>385000</v>
      </c>
      <c r="D13" s="26">
        <f t="shared" si="0"/>
        <v>392000</v>
      </c>
      <c r="E13" s="26">
        <f t="shared" si="0"/>
        <v>407000</v>
      </c>
      <c r="F13" s="9">
        <v>102</v>
      </c>
      <c r="G13" s="9">
        <v>104</v>
      </c>
    </row>
    <row r="14" spans="1:7" s="3" customFormat="1" ht="30" customHeight="1">
      <c r="A14" s="77">
        <v>68</v>
      </c>
      <c r="B14" s="25" t="s">
        <v>91</v>
      </c>
      <c r="C14" s="4">
        <v>20000</v>
      </c>
      <c r="D14" s="26">
        <f>C14*F14/100</f>
        <v>20000</v>
      </c>
      <c r="E14" s="26">
        <f>D14*G14/100</f>
        <v>20000</v>
      </c>
      <c r="F14" s="9">
        <v>100</v>
      </c>
      <c r="G14" s="9">
        <v>100</v>
      </c>
    </row>
    <row r="15" spans="1:7" s="2" customFormat="1" ht="25.5">
      <c r="A15" s="76">
        <v>7</v>
      </c>
      <c r="B15" s="23" t="s">
        <v>6</v>
      </c>
      <c r="C15" s="24">
        <f>SUM(C16:C17)</f>
        <v>4110000</v>
      </c>
      <c r="D15" s="24">
        <f>SUM(D16:D17)</f>
        <v>3350000</v>
      </c>
      <c r="E15" s="24">
        <f>SUM(E16:E17)</f>
        <v>3350000</v>
      </c>
      <c r="F15" s="7">
        <f>D15/C15*100</f>
        <v>81.50851581508516</v>
      </c>
      <c r="G15" s="7">
        <f>E15/D15*100</f>
        <v>100</v>
      </c>
    </row>
    <row r="16" spans="1:7" s="3" customFormat="1" ht="38.25">
      <c r="A16" s="77">
        <v>71</v>
      </c>
      <c r="B16" s="25" t="s">
        <v>88</v>
      </c>
      <c r="C16" s="4">
        <v>960000</v>
      </c>
      <c r="D16" s="4">
        <v>200000</v>
      </c>
      <c r="E16" s="4">
        <v>200000</v>
      </c>
      <c r="F16" s="9">
        <f>D16/C16*100</f>
        <v>20.833333333333336</v>
      </c>
      <c r="G16" s="9">
        <f>E16/D16*100</f>
        <v>100</v>
      </c>
    </row>
    <row r="17" spans="1:7" s="3" customFormat="1" ht="25.5">
      <c r="A17" s="77">
        <v>72</v>
      </c>
      <c r="B17" s="25" t="s">
        <v>7</v>
      </c>
      <c r="C17" s="4">
        <v>3150000</v>
      </c>
      <c r="D17" s="26">
        <f>C17*F17/100</f>
        <v>3150000</v>
      </c>
      <c r="E17" s="26">
        <f>D17*G17/100</f>
        <v>3150000</v>
      </c>
      <c r="F17" s="9">
        <v>100</v>
      </c>
      <c r="G17" s="9">
        <v>100</v>
      </c>
    </row>
    <row r="18" spans="1:8" s="3" customFormat="1" ht="19.5" customHeight="1">
      <c r="A18" s="78"/>
      <c r="B18" s="30"/>
      <c r="C18" s="31"/>
      <c r="D18" s="32"/>
      <c r="E18" s="32"/>
      <c r="F18" s="10"/>
      <c r="G18" s="79"/>
      <c r="H18" s="11"/>
    </row>
    <row r="19" spans="1:8" s="3" customFormat="1" ht="23.25" customHeight="1">
      <c r="A19" s="86" t="s">
        <v>96</v>
      </c>
      <c r="B19" s="87"/>
      <c r="C19" s="31"/>
      <c r="D19" s="12"/>
      <c r="E19" s="12"/>
      <c r="F19" s="10"/>
      <c r="G19" s="80"/>
      <c r="H19" s="11"/>
    </row>
    <row r="20" spans="1:7" s="6" customFormat="1" ht="30.75" customHeight="1">
      <c r="A20" s="81" t="s">
        <v>94</v>
      </c>
      <c r="B20" s="45" t="s">
        <v>8</v>
      </c>
      <c r="C20" s="43" t="s">
        <v>84</v>
      </c>
      <c r="D20" s="44" t="s">
        <v>78</v>
      </c>
      <c r="E20" s="44" t="s">
        <v>85</v>
      </c>
      <c r="F20" s="7" t="s">
        <v>80</v>
      </c>
      <c r="G20" s="7" t="s">
        <v>80</v>
      </c>
    </row>
    <row r="21" spans="1:7" s="6" customFormat="1" ht="11.25" customHeight="1">
      <c r="A21" s="75">
        <v>1</v>
      </c>
      <c r="B21" s="21">
        <v>2</v>
      </c>
      <c r="C21" s="22">
        <v>3</v>
      </c>
      <c r="D21" s="42">
        <v>4</v>
      </c>
      <c r="E21" s="42">
        <v>5</v>
      </c>
      <c r="F21" s="74" t="s">
        <v>81</v>
      </c>
      <c r="G21" s="74" t="s">
        <v>82</v>
      </c>
    </row>
    <row r="22" spans="1:7" s="6" customFormat="1" ht="11.25" customHeight="1" thickBot="1">
      <c r="A22" s="82"/>
      <c r="B22" s="50"/>
      <c r="C22" s="51"/>
      <c r="D22" s="52"/>
      <c r="E22" s="52"/>
      <c r="F22" s="53"/>
      <c r="G22" s="83"/>
    </row>
    <row r="23" spans="1:7" ht="23.25" customHeight="1" thickBot="1">
      <c r="A23" s="48"/>
      <c r="B23" s="54" t="s">
        <v>9</v>
      </c>
      <c r="C23" s="55">
        <f>+C25+C54+C71+C108+C129+C201</f>
        <v>167941000</v>
      </c>
      <c r="D23" s="55">
        <f>+D25+D54+D71+D108+D129+D201</f>
        <v>169964000</v>
      </c>
      <c r="E23" s="55">
        <f>+E25+E54+E71+E108+E129+E201</f>
        <v>176797000</v>
      </c>
      <c r="F23" s="56">
        <f aca="true" t="shared" si="1" ref="F23:G28">D23/C23*100</f>
        <v>101.20458970709952</v>
      </c>
      <c r="G23" s="56">
        <f t="shared" si="1"/>
        <v>104.0202631145419</v>
      </c>
    </row>
    <row r="24" spans="1:7" ht="23.25" customHeight="1" thickBot="1">
      <c r="A24" s="48"/>
      <c r="B24" s="48"/>
      <c r="C24" s="49"/>
      <c r="D24" s="49"/>
      <c r="E24" s="49"/>
      <c r="F24" s="39"/>
      <c r="G24" s="39"/>
    </row>
    <row r="25" spans="1:7" s="1" customFormat="1" ht="33.75" customHeight="1" thickBot="1">
      <c r="A25" s="54" t="s">
        <v>10</v>
      </c>
      <c r="B25" s="54" t="s">
        <v>11</v>
      </c>
      <c r="C25" s="55">
        <f>+C27+C32+C37+C49</f>
        <v>12800000</v>
      </c>
      <c r="D25" s="55">
        <f>+D27+D32+D37+D49</f>
        <v>14565100</v>
      </c>
      <c r="E25" s="55">
        <f>+E27+E32+E37+E49</f>
        <v>14945100</v>
      </c>
      <c r="F25" s="56">
        <f t="shared" si="1"/>
        <v>113.78984375</v>
      </c>
      <c r="G25" s="56">
        <f t="shared" si="1"/>
        <v>102.60897625145037</v>
      </c>
    </row>
    <row r="26" spans="1:7" s="1" customFormat="1" ht="15" customHeight="1">
      <c r="A26" s="64"/>
      <c r="B26" s="64"/>
      <c r="C26" s="65"/>
      <c r="D26" s="65"/>
      <c r="E26" s="65"/>
      <c r="F26" s="66"/>
      <c r="G26" s="66"/>
    </row>
    <row r="27" spans="1:7" ht="20.25" customHeight="1">
      <c r="A27" s="23" t="s">
        <v>12</v>
      </c>
      <c r="B27" s="23" t="s">
        <v>13</v>
      </c>
      <c r="C27" s="24">
        <f>+C28</f>
        <v>972370</v>
      </c>
      <c r="D27" s="24">
        <f>+D28</f>
        <v>1000000</v>
      </c>
      <c r="E27" s="24">
        <f>+E28</f>
        <v>1037000</v>
      </c>
      <c r="F27" s="36">
        <f t="shared" si="1"/>
        <v>102.84151094747884</v>
      </c>
      <c r="G27" s="36">
        <f t="shared" si="1"/>
        <v>103.69999999999999</v>
      </c>
    </row>
    <row r="28" spans="1:7" s="2" customFormat="1" ht="12.75">
      <c r="A28" s="69">
        <v>3</v>
      </c>
      <c r="B28" s="23" t="s">
        <v>14</v>
      </c>
      <c r="C28" s="24">
        <f>SUM(C29:C30)</f>
        <v>972370</v>
      </c>
      <c r="D28" s="24">
        <f>SUM(D29:D30)</f>
        <v>1000000</v>
      </c>
      <c r="E28" s="24">
        <f>SUM(E29:E30)</f>
        <v>1037000</v>
      </c>
      <c r="F28" s="36">
        <f t="shared" si="1"/>
        <v>102.84151094747884</v>
      </c>
      <c r="G28" s="36">
        <f t="shared" si="1"/>
        <v>103.69999999999999</v>
      </c>
    </row>
    <row r="29" spans="1:7" s="3" customFormat="1" ht="15.75" customHeight="1">
      <c r="A29" s="70">
        <v>32</v>
      </c>
      <c r="B29" s="25" t="s">
        <v>15</v>
      </c>
      <c r="C29" s="4">
        <v>622370</v>
      </c>
      <c r="D29" s="26">
        <f>INT((C29*F29/100)/1000)*1000</f>
        <v>635000</v>
      </c>
      <c r="E29" s="26">
        <f>INT((D29*G29/100)/1000)*1000</f>
        <v>652000</v>
      </c>
      <c r="F29" s="37">
        <v>102.1</v>
      </c>
      <c r="G29" s="37">
        <v>102.7</v>
      </c>
    </row>
    <row r="30" spans="1:7" s="3" customFormat="1" ht="15.75" customHeight="1">
      <c r="A30" s="70">
        <v>38</v>
      </c>
      <c r="B30" s="25" t="s">
        <v>16</v>
      </c>
      <c r="C30" s="4">
        <v>350000</v>
      </c>
      <c r="D30" s="26">
        <f>INT((C30*F30/100)/1000)*1000+1000</f>
        <v>365000</v>
      </c>
      <c r="E30" s="26">
        <f>INT((D30*G30/100)/1000)*1000</f>
        <v>385000</v>
      </c>
      <c r="F30" s="37">
        <v>104</v>
      </c>
      <c r="G30" s="37">
        <v>105.5</v>
      </c>
    </row>
    <row r="31" spans="1:7" s="3" customFormat="1" ht="12.75">
      <c r="A31" s="70"/>
      <c r="B31" s="25"/>
      <c r="C31" s="4"/>
      <c r="D31" s="26"/>
      <c r="E31" s="26"/>
      <c r="F31" s="37"/>
      <c r="G31" s="37"/>
    </row>
    <row r="32" spans="1:7" s="1" customFormat="1" ht="12.75">
      <c r="A32" s="23" t="s">
        <v>17</v>
      </c>
      <c r="B32" s="23" t="s">
        <v>18</v>
      </c>
      <c r="C32" s="24">
        <f>+C33</f>
        <v>1376000</v>
      </c>
      <c r="D32" s="24">
        <f>+D33</f>
        <v>1429000</v>
      </c>
      <c r="E32" s="24">
        <f>+E33</f>
        <v>1504000</v>
      </c>
      <c r="F32" s="36">
        <f>D32/C32*100</f>
        <v>103.8517441860465</v>
      </c>
      <c r="G32" s="36">
        <f>E32/D32*100</f>
        <v>105.24842547235829</v>
      </c>
    </row>
    <row r="33" spans="1:7" s="2" customFormat="1" ht="12.75">
      <c r="A33" s="69">
        <v>3</v>
      </c>
      <c r="B33" s="23" t="s">
        <v>14</v>
      </c>
      <c r="C33" s="24">
        <f>SUM(C34:C35)</f>
        <v>1376000</v>
      </c>
      <c r="D33" s="24">
        <f>SUM(D34:D35)</f>
        <v>1429000</v>
      </c>
      <c r="E33" s="24">
        <f>SUM(E34:E35)</f>
        <v>1504000</v>
      </c>
      <c r="F33" s="36">
        <f>D33/C33*100</f>
        <v>103.8517441860465</v>
      </c>
      <c r="G33" s="36">
        <f>E33/D33*100</f>
        <v>105.24842547235829</v>
      </c>
    </row>
    <row r="34" spans="1:7" s="3" customFormat="1" ht="18" customHeight="1">
      <c r="A34" s="70">
        <v>32</v>
      </c>
      <c r="B34" s="25" t="s">
        <v>15</v>
      </c>
      <c r="C34" s="4">
        <v>96000</v>
      </c>
      <c r="D34" s="26">
        <f>INT((C34*F34/100)/1000)*1000</f>
        <v>98000</v>
      </c>
      <c r="E34" s="26">
        <f>INT((D34*G34/100)/1000)*1000</f>
        <v>100000</v>
      </c>
      <c r="F34" s="37">
        <v>102.1</v>
      </c>
      <c r="G34" s="37">
        <v>102.7</v>
      </c>
    </row>
    <row r="35" spans="1:7" s="3" customFormat="1" ht="18" customHeight="1">
      <c r="A35" s="70">
        <v>38</v>
      </c>
      <c r="B35" s="25" t="s">
        <v>16</v>
      </c>
      <c r="C35" s="4">
        <v>1280000</v>
      </c>
      <c r="D35" s="26">
        <f>INT((C35*F35/100)/1000)*1000</f>
        <v>1331000</v>
      </c>
      <c r="E35" s="26">
        <f>INT((D35*G35/100)/1000)*1000</f>
        <v>1404000</v>
      </c>
      <c r="F35" s="37">
        <v>104</v>
      </c>
      <c r="G35" s="37">
        <v>105.5</v>
      </c>
    </row>
    <row r="36" spans="1:7" s="3" customFormat="1" ht="12.75">
      <c r="A36" s="70"/>
      <c r="B36" s="25"/>
      <c r="C36" s="4"/>
      <c r="D36" s="26"/>
      <c r="E36" s="26"/>
      <c r="F36" s="37"/>
      <c r="G36" s="37"/>
    </row>
    <row r="37" spans="1:7" s="1" customFormat="1" ht="23.25" customHeight="1">
      <c r="A37" s="23" t="s">
        <v>19</v>
      </c>
      <c r="B37" s="23" t="s">
        <v>20</v>
      </c>
      <c r="C37" s="24">
        <f>+C38+C45</f>
        <v>10286630</v>
      </c>
      <c r="D37" s="24">
        <f>+D38+D45</f>
        <v>11967100</v>
      </c>
      <c r="E37" s="24">
        <f>+E38+E45</f>
        <v>12229100</v>
      </c>
      <c r="F37" s="36">
        <f aca="true" t="shared" si="2" ref="F37:G39">D37/C37*100</f>
        <v>116.33644838008172</v>
      </c>
      <c r="G37" s="36">
        <f t="shared" si="2"/>
        <v>102.18933576221474</v>
      </c>
    </row>
    <row r="38" spans="1:7" s="1" customFormat="1" ht="36" customHeight="1">
      <c r="A38" s="23" t="s">
        <v>21</v>
      </c>
      <c r="B38" s="23" t="s">
        <v>22</v>
      </c>
      <c r="C38" s="24">
        <f>+C39+C43</f>
        <v>8951630</v>
      </c>
      <c r="D38" s="24">
        <f>+D39+D43</f>
        <v>10579100</v>
      </c>
      <c r="E38" s="24">
        <f>+E39+E43</f>
        <v>10765100</v>
      </c>
      <c r="F38" s="36">
        <f t="shared" si="2"/>
        <v>118.18071122242542</v>
      </c>
      <c r="G38" s="36">
        <f t="shared" si="2"/>
        <v>101.758183588396</v>
      </c>
    </row>
    <row r="39" spans="1:7" s="2" customFormat="1" ht="12.75">
      <c r="A39" s="69">
        <v>3</v>
      </c>
      <c r="B39" s="23" t="s">
        <v>14</v>
      </c>
      <c r="C39" s="24">
        <f>SUM(C40:C42)</f>
        <v>8951630</v>
      </c>
      <c r="D39" s="24">
        <f>SUM(D40:D42)</f>
        <v>8979100</v>
      </c>
      <c r="E39" s="24">
        <f>SUM(E40:E42)</f>
        <v>9015100</v>
      </c>
      <c r="F39" s="36">
        <f t="shared" si="2"/>
        <v>100.3068714859752</v>
      </c>
      <c r="G39" s="36">
        <f t="shared" si="2"/>
        <v>100.4009310509962</v>
      </c>
    </row>
    <row r="40" spans="1:7" s="3" customFormat="1" ht="16.5" customHeight="1">
      <c r="A40" s="70">
        <v>31</v>
      </c>
      <c r="B40" s="25" t="s">
        <v>23</v>
      </c>
      <c r="C40" s="4">
        <f>6895880+734150</f>
        <v>7630030</v>
      </c>
      <c r="D40" s="4">
        <f>6895880+734150+70</f>
        <v>7630100</v>
      </c>
      <c r="E40" s="4">
        <f>6895880+734150+70</f>
        <v>7630100</v>
      </c>
      <c r="F40" s="37">
        <f>D40/C40*100</f>
        <v>100.00091742758548</v>
      </c>
      <c r="G40" s="37">
        <f>E40/D40*100</f>
        <v>100</v>
      </c>
    </row>
    <row r="41" spans="1:7" s="3" customFormat="1" ht="16.5" customHeight="1">
      <c r="A41" s="70">
        <v>32</v>
      </c>
      <c r="B41" s="25" t="s">
        <v>15</v>
      </c>
      <c r="C41" s="4">
        <f>1187800+129400</f>
        <v>1317200</v>
      </c>
      <c r="D41" s="26">
        <f>INT((C41*F41/100)/1000)*1000</f>
        <v>1344000</v>
      </c>
      <c r="E41" s="26">
        <f>INT((D41*G41/100)/1000)*1000</f>
        <v>1380000</v>
      </c>
      <c r="F41" s="37">
        <v>102.1</v>
      </c>
      <c r="G41" s="37">
        <v>102.7</v>
      </c>
    </row>
    <row r="42" spans="1:7" s="3" customFormat="1" ht="16.5" customHeight="1">
      <c r="A42" s="70">
        <v>34</v>
      </c>
      <c r="B42" s="25" t="s">
        <v>24</v>
      </c>
      <c r="C42" s="4">
        <v>4400</v>
      </c>
      <c r="D42" s="26">
        <f>INT((C42*F42/100)/1000)*1000+1000</f>
        <v>5000</v>
      </c>
      <c r="E42" s="26">
        <f>INT((D42*G42/100)/1000)*1000</f>
        <v>5000</v>
      </c>
      <c r="F42" s="37">
        <v>110.2</v>
      </c>
      <c r="G42" s="37">
        <v>112.4</v>
      </c>
    </row>
    <row r="43" spans="1:7" s="2" customFormat="1" ht="33.75" customHeight="1">
      <c r="A43" s="69">
        <v>4</v>
      </c>
      <c r="B43" s="23" t="s">
        <v>25</v>
      </c>
      <c r="C43" s="24">
        <f>+C44</f>
        <v>0</v>
      </c>
      <c r="D43" s="24">
        <f>+D44</f>
        <v>1600000</v>
      </c>
      <c r="E43" s="24">
        <f>+E44</f>
        <v>1750000</v>
      </c>
      <c r="F43" s="36">
        <v>0</v>
      </c>
      <c r="G43" s="36">
        <f aca="true" t="shared" si="3" ref="G43:G50">E43/D43*100</f>
        <v>109.375</v>
      </c>
    </row>
    <row r="44" spans="1:7" s="3" customFormat="1" ht="33" customHeight="1">
      <c r="A44" s="70">
        <v>42</v>
      </c>
      <c r="B44" s="25" t="s">
        <v>26</v>
      </c>
      <c r="C44" s="4">
        <v>0</v>
      </c>
      <c r="D44" s="26">
        <v>1600000</v>
      </c>
      <c r="E44" s="26">
        <v>1750000</v>
      </c>
      <c r="F44" s="37">
        <v>0</v>
      </c>
      <c r="G44" s="37">
        <f t="shared" si="3"/>
        <v>109.375</v>
      </c>
    </row>
    <row r="45" spans="1:7" ht="42" customHeight="1">
      <c r="A45" s="23" t="s">
        <v>27</v>
      </c>
      <c r="B45" s="23" t="s">
        <v>28</v>
      </c>
      <c r="C45" s="24">
        <f aca="true" t="shared" si="4" ref="C45:E46">+C46</f>
        <v>1335000</v>
      </c>
      <c r="D45" s="24">
        <f t="shared" si="4"/>
        <v>1388000</v>
      </c>
      <c r="E45" s="24">
        <f t="shared" si="4"/>
        <v>1464000</v>
      </c>
      <c r="F45" s="36">
        <f>D45/C45*100</f>
        <v>103.97003745318352</v>
      </c>
      <c r="G45" s="36">
        <f t="shared" si="3"/>
        <v>105.47550432276658</v>
      </c>
    </row>
    <row r="46" spans="1:7" s="2" customFormat="1" ht="12.75">
      <c r="A46" s="69">
        <v>3</v>
      </c>
      <c r="B46" s="23" t="s">
        <v>14</v>
      </c>
      <c r="C46" s="24">
        <f t="shared" si="4"/>
        <v>1335000</v>
      </c>
      <c r="D46" s="24">
        <f t="shared" si="4"/>
        <v>1388000</v>
      </c>
      <c r="E46" s="24">
        <f t="shared" si="4"/>
        <v>1464000</v>
      </c>
      <c r="F46" s="36">
        <f>D46/C46*100</f>
        <v>103.97003745318352</v>
      </c>
      <c r="G46" s="36">
        <f t="shared" si="3"/>
        <v>105.47550432276658</v>
      </c>
    </row>
    <row r="47" spans="1:7" s="3" customFormat="1" ht="12.75">
      <c r="A47" s="70">
        <v>38</v>
      </c>
      <c r="B47" s="25" t="s">
        <v>16</v>
      </c>
      <c r="C47" s="4">
        <v>1335000</v>
      </c>
      <c r="D47" s="26">
        <v>1388000</v>
      </c>
      <c r="E47" s="26">
        <v>1464000</v>
      </c>
      <c r="F47" s="37">
        <f>D47/C47*100</f>
        <v>103.97003745318352</v>
      </c>
      <c r="G47" s="37">
        <f t="shared" si="3"/>
        <v>105.47550432276658</v>
      </c>
    </row>
    <row r="48" spans="1:7" s="3" customFormat="1" ht="12.75">
      <c r="A48" s="70"/>
      <c r="B48" s="25"/>
      <c r="C48" s="4"/>
      <c r="D48" s="26"/>
      <c r="E48" s="26"/>
      <c r="F48" s="37"/>
      <c r="G48" s="37"/>
    </row>
    <row r="49" spans="1:7" ht="30.75" customHeight="1">
      <c r="A49" s="23" t="s">
        <v>29</v>
      </c>
      <c r="B49" s="23" t="s">
        <v>30</v>
      </c>
      <c r="C49" s="24">
        <f>+C50</f>
        <v>165000</v>
      </c>
      <c r="D49" s="24">
        <f>+D50</f>
        <v>169000</v>
      </c>
      <c r="E49" s="24">
        <f>+E50</f>
        <v>175000</v>
      </c>
      <c r="F49" s="36">
        <f>D49/C49*100</f>
        <v>102.42424242424242</v>
      </c>
      <c r="G49" s="36">
        <f t="shared" si="3"/>
        <v>103.55029585798816</v>
      </c>
    </row>
    <row r="50" spans="1:7" s="2" customFormat="1" ht="12.75">
      <c r="A50" s="69">
        <v>3</v>
      </c>
      <c r="B50" s="23" t="s">
        <v>14</v>
      </c>
      <c r="C50" s="24">
        <f>SUM(C51:C52)</f>
        <v>165000</v>
      </c>
      <c r="D50" s="24">
        <f>SUM(D51:D52)</f>
        <v>169000</v>
      </c>
      <c r="E50" s="24">
        <f>SUM(E51:E52)</f>
        <v>175000</v>
      </c>
      <c r="F50" s="36">
        <f>D50/C50*100</f>
        <v>102.42424242424242</v>
      </c>
      <c r="G50" s="36">
        <f t="shared" si="3"/>
        <v>103.55029585798816</v>
      </c>
    </row>
    <row r="51" spans="1:7" s="3" customFormat="1" ht="17.25" customHeight="1">
      <c r="A51" s="70">
        <v>32</v>
      </c>
      <c r="B51" s="25" t="s">
        <v>15</v>
      </c>
      <c r="C51" s="4">
        <v>70000</v>
      </c>
      <c r="D51" s="26">
        <f>INT((C51*F51/100)/1000)*1000</f>
        <v>71000</v>
      </c>
      <c r="E51" s="26">
        <f>INT((D51*G51/100)/1000)*1000</f>
        <v>72000</v>
      </c>
      <c r="F51" s="37">
        <v>102.1</v>
      </c>
      <c r="G51" s="37">
        <v>102.7</v>
      </c>
    </row>
    <row r="52" spans="1:7" s="3" customFormat="1" ht="12.75">
      <c r="A52" s="70">
        <v>38</v>
      </c>
      <c r="B52" s="25" t="s">
        <v>16</v>
      </c>
      <c r="C52" s="4">
        <v>95000</v>
      </c>
      <c r="D52" s="26">
        <f>INT((C52*F52/100)/1000)*1000</f>
        <v>98000</v>
      </c>
      <c r="E52" s="26">
        <f>INT((D52*G52/100)/1000)*1000</f>
        <v>103000</v>
      </c>
      <c r="F52" s="37">
        <v>104</v>
      </c>
      <c r="G52" s="37">
        <v>105.5</v>
      </c>
    </row>
    <row r="53" spans="1:7" s="3" customFormat="1" ht="13.5" thickBot="1">
      <c r="A53" s="84"/>
      <c r="B53" s="27"/>
      <c r="C53" s="28"/>
      <c r="D53" s="29"/>
      <c r="E53" s="29"/>
      <c r="F53" s="60"/>
      <c r="G53" s="60"/>
    </row>
    <row r="54" spans="1:7" ht="39" customHeight="1" thickBot="1">
      <c r="A54" s="57" t="s">
        <v>31</v>
      </c>
      <c r="B54" s="57" t="s">
        <v>32</v>
      </c>
      <c r="C54" s="58">
        <f>+C55+C65</f>
        <v>29122386</v>
      </c>
      <c r="D54" s="58">
        <f>+D55+D65</f>
        <v>28740400</v>
      </c>
      <c r="E54" s="58">
        <f>+E55+E65</f>
        <v>26785400</v>
      </c>
      <c r="F54" s="59">
        <f aca="true" t="shared" si="5" ref="F54:G56">D54/C54*100</f>
        <v>98.68834236315665</v>
      </c>
      <c r="G54" s="59">
        <f t="shared" si="5"/>
        <v>93.19772863286524</v>
      </c>
    </row>
    <row r="55" spans="1:7" ht="21" customHeight="1">
      <c r="A55" s="33" t="s">
        <v>12</v>
      </c>
      <c r="B55" s="33" t="s">
        <v>33</v>
      </c>
      <c r="C55" s="34">
        <f>+C56+C62</f>
        <v>28452386</v>
      </c>
      <c r="D55" s="34">
        <f>+D56+D62</f>
        <v>28020400</v>
      </c>
      <c r="E55" s="34">
        <f>+E56+E62</f>
        <v>26015400</v>
      </c>
      <c r="F55" s="35">
        <f t="shared" si="5"/>
        <v>98.4817231145395</v>
      </c>
      <c r="G55" s="35">
        <f t="shared" si="5"/>
        <v>92.84449900786569</v>
      </c>
    </row>
    <row r="56" spans="1:7" s="2" customFormat="1" ht="21" customHeight="1">
      <c r="A56" s="69">
        <v>3</v>
      </c>
      <c r="B56" s="23" t="s">
        <v>14</v>
      </c>
      <c r="C56" s="24">
        <f>SUM(C57:C61)</f>
        <v>22282386</v>
      </c>
      <c r="D56" s="24">
        <f>SUM(D57:D61)</f>
        <v>21832400</v>
      </c>
      <c r="E56" s="24">
        <f>SUM(E57:E61)</f>
        <v>21723400</v>
      </c>
      <c r="F56" s="36">
        <f t="shared" si="5"/>
        <v>97.98053045127214</v>
      </c>
      <c r="G56" s="36">
        <f t="shared" si="5"/>
        <v>99.50074201645262</v>
      </c>
    </row>
    <row r="57" spans="1:7" s="3" customFormat="1" ht="21" customHeight="1">
      <c r="A57" s="70">
        <v>31</v>
      </c>
      <c r="B57" s="25" t="s">
        <v>23</v>
      </c>
      <c r="C57" s="4">
        <v>16444386</v>
      </c>
      <c r="D57" s="4">
        <v>16444400</v>
      </c>
      <c r="E57" s="4">
        <v>16444400</v>
      </c>
      <c r="F57" s="37">
        <f>D57/C57*100</f>
        <v>100.00008513543773</v>
      </c>
      <c r="G57" s="37">
        <f>E57/D57*100</f>
        <v>100</v>
      </c>
    </row>
    <row r="58" spans="1:7" s="3" customFormat="1" ht="21" customHeight="1">
      <c r="A58" s="70">
        <v>32</v>
      </c>
      <c r="B58" s="25" t="s">
        <v>15</v>
      </c>
      <c r="C58" s="4">
        <f>1890000+1080000</f>
        <v>2970000</v>
      </c>
      <c r="D58" s="26">
        <f>INT((C58*F58/100)/1000)*1000</f>
        <v>3032000</v>
      </c>
      <c r="E58" s="26">
        <f>INT((D58*G58/100)/1000)*1000</f>
        <v>3113000</v>
      </c>
      <c r="F58" s="37">
        <v>102.1</v>
      </c>
      <c r="G58" s="37">
        <v>102.7</v>
      </c>
    </row>
    <row r="59" spans="1:7" s="3" customFormat="1" ht="21" customHeight="1">
      <c r="A59" s="70">
        <v>34</v>
      </c>
      <c r="B59" s="25" t="s">
        <v>24</v>
      </c>
      <c r="C59" s="4">
        <f>2283000+180000</f>
        <v>2463000</v>
      </c>
      <c r="D59" s="26">
        <f>1721000+180000</f>
        <v>1901000</v>
      </c>
      <c r="E59" s="26">
        <f>1481000+180000</f>
        <v>1661000</v>
      </c>
      <c r="F59" s="37">
        <f>D59/C59*100</f>
        <v>77.18229801055622</v>
      </c>
      <c r="G59" s="37">
        <f>E59/D59*100</f>
        <v>87.37506575486586</v>
      </c>
    </row>
    <row r="60" spans="1:7" s="3" customFormat="1" ht="27" customHeight="1">
      <c r="A60" s="70">
        <v>36</v>
      </c>
      <c r="B60" s="25" t="s">
        <v>34</v>
      </c>
      <c r="C60" s="4">
        <v>155000</v>
      </c>
      <c r="D60" s="26">
        <f>INT((C60*F60/100)/1000)*1000</f>
        <v>155000</v>
      </c>
      <c r="E60" s="26">
        <f>INT((D60*G60/100)/1000)*1000</f>
        <v>155000</v>
      </c>
      <c r="F60" s="37">
        <v>100</v>
      </c>
      <c r="G60" s="37">
        <v>100</v>
      </c>
    </row>
    <row r="61" spans="1:7" s="3" customFormat="1" ht="18.75" customHeight="1">
      <c r="A61" s="70">
        <v>38</v>
      </c>
      <c r="B61" s="25" t="s">
        <v>16</v>
      </c>
      <c r="C61" s="4">
        <v>250000</v>
      </c>
      <c r="D61" s="26">
        <v>300000</v>
      </c>
      <c r="E61" s="26">
        <v>350000</v>
      </c>
      <c r="F61" s="37">
        <f aca="true" t="shared" si="6" ref="F61:F73">D61/C61*100</f>
        <v>120</v>
      </c>
      <c r="G61" s="37">
        <f aca="true" t="shared" si="7" ref="G61:G73">E61/D61*100</f>
        <v>116.66666666666667</v>
      </c>
    </row>
    <row r="62" spans="1:7" s="2" customFormat="1" ht="27.75" customHeight="1">
      <c r="A62" s="69">
        <v>5</v>
      </c>
      <c r="B62" s="23" t="s">
        <v>35</v>
      </c>
      <c r="C62" s="24">
        <f>+C63</f>
        <v>6170000</v>
      </c>
      <c r="D62" s="24">
        <f>+D63</f>
        <v>6188000</v>
      </c>
      <c r="E62" s="24">
        <f>+E63</f>
        <v>4292000</v>
      </c>
      <c r="F62" s="36">
        <f t="shared" si="6"/>
        <v>100.29173419773096</v>
      </c>
      <c r="G62" s="36">
        <f t="shared" si="7"/>
        <v>69.36005171299288</v>
      </c>
    </row>
    <row r="63" spans="1:7" s="3" customFormat="1" ht="25.5">
      <c r="A63" s="70">
        <v>54</v>
      </c>
      <c r="B63" s="25" t="s">
        <v>90</v>
      </c>
      <c r="C63" s="4">
        <v>6170000</v>
      </c>
      <c r="D63" s="26">
        <v>6188000</v>
      </c>
      <c r="E63" s="26">
        <v>4292000</v>
      </c>
      <c r="F63" s="37">
        <f t="shared" si="6"/>
        <v>100.29173419773096</v>
      </c>
      <c r="G63" s="37">
        <f t="shared" si="7"/>
        <v>69.36005171299288</v>
      </c>
    </row>
    <row r="64" spans="1:7" s="3" customFormat="1" ht="12.75">
      <c r="A64" s="70"/>
      <c r="B64" s="25"/>
      <c r="C64" s="4"/>
      <c r="D64" s="26"/>
      <c r="E64" s="26"/>
      <c r="F64" s="37"/>
      <c r="G64" s="37"/>
    </row>
    <row r="65" spans="1:7" s="1" customFormat="1" ht="27" customHeight="1">
      <c r="A65" s="23" t="s">
        <v>17</v>
      </c>
      <c r="B65" s="23" t="s">
        <v>36</v>
      </c>
      <c r="C65" s="24">
        <f>+C66+C68</f>
        <v>670000</v>
      </c>
      <c r="D65" s="24">
        <f>+D66+D68</f>
        <v>720000</v>
      </c>
      <c r="E65" s="24">
        <f>+E66+E68</f>
        <v>770000</v>
      </c>
      <c r="F65" s="36">
        <f t="shared" si="6"/>
        <v>107.46268656716418</v>
      </c>
      <c r="G65" s="36">
        <f t="shared" si="7"/>
        <v>106.94444444444444</v>
      </c>
    </row>
    <row r="66" spans="1:7" s="2" customFormat="1" ht="16.5" customHeight="1">
      <c r="A66" s="69">
        <v>3</v>
      </c>
      <c r="B66" s="23" t="s">
        <v>14</v>
      </c>
      <c r="C66" s="24">
        <f>+C67</f>
        <v>400000</v>
      </c>
      <c r="D66" s="24">
        <f>+D67</f>
        <v>420000</v>
      </c>
      <c r="E66" s="24">
        <f>+E67</f>
        <v>440000</v>
      </c>
      <c r="F66" s="36">
        <f t="shared" si="6"/>
        <v>105</v>
      </c>
      <c r="G66" s="36">
        <f t="shared" si="7"/>
        <v>104.76190476190477</v>
      </c>
    </row>
    <row r="67" spans="1:7" s="3" customFormat="1" ht="17.25" customHeight="1">
      <c r="A67" s="70">
        <v>32</v>
      </c>
      <c r="B67" s="25" t="s">
        <v>15</v>
      </c>
      <c r="C67" s="4">
        <v>400000</v>
      </c>
      <c r="D67" s="26">
        <v>420000</v>
      </c>
      <c r="E67" s="26">
        <v>440000</v>
      </c>
      <c r="F67" s="37">
        <f t="shared" si="6"/>
        <v>105</v>
      </c>
      <c r="G67" s="37">
        <f t="shared" si="7"/>
        <v>104.76190476190477</v>
      </c>
    </row>
    <row r="68" spans="1:7" s="2" customFormat="1" ht="25.5">
      <c r="A68" s="69">
        <v>4</v>
      </c>
      <c r="B68" s="23" t="s">
        <v>25</v>
      </c>
      <c r="C68" s="24">
        <f>+C69</f>
        <v>270000</v>
      </c>
      <c r="D68" s="24">
        <f>+D69</f>
        <v>300000</v>
      </c>
      <c r="E68" s="24">
        <f>+E69</f>
        <v>330000</v>
      </c>
      <c r="F68" s="36">
        <f t="shared" si="6"/>
        <v>111.11111111111111</v>
      </c>
      <c r="G68" s="36">
        <f t="shared" si="7"/>
        <v>110.00000000000001</v>
      </c>
    </row>
    <row r="69" spans="1:7" s="3" customFormat="1" ht="25.5">
      <c r="A69" s="70">
        <v>42</v>
      </c>
      <c r="B69" s="25" t="s">
        <v>26</v>
      </c>
      <c r="C69" s="4">
        <v>270000</v>
      </c>
      <c r="D69" s="26">
        <v>300000</v>
      </c>
      <c r="E69" s="26">
        <v>330000</v>
      </c>
      <c r="F69" s="37">
        <f t="shared" si="6"/>
        <v>111.11111111111111</v>
      </c>
      <c r="G69" s="37">
        <f t="shared" si="7"/>
        <v>110.00000000000001</v>
      </c>
    </row>
    <row r="70" spans="1:7" s="3" customFormat="1" ht="13.5" thickBot="1">
      <c r="A70" s="84"/>
      <c r="B70" s="27"/>
      <c r="C70" s="28"/>
      <c r="D70" s="29"/>
      <c r="E70" s="29"/>
      <c r="F70" s="60"/>
      <c r="G70" s="60"/>
    </row>
    <row r="71" spans="1:7" s="1" customFormat="1" ht="51.75" customHeight="1" thickBot="1">
      <c r="A71" s="57" t="s">
        <v>37</v>
      </c>
      <c r="B71" s="57" t="s">
        <v>93</v>
      </c>
      <c r="C71" s="58">
        <f>+C72+C80+C88+C96+C102</f>
        <v>44364900</v>
      </c>
      <c r="D71" s="58">
        <f>+D72+D80+D88+D96+D102</f>
        <v>45728000</v>
      </c>
      <c r="E71" s="58">
        <f>+E72+E80+E88+E96+E102</f>
        <v>51186000</v>
      </c>
      <c r="F71" s="59">
        <f t="shared" si="6"/>
        <v>103.0724739602704</v>
      </c>
      <c r="G71" s="59">
        <f t="shared" si="7"/>
        <v>111.93579426172148</v>
      </c>
    </row>
    <row r="72" spans="1:7" ht="29.25" customHeight="1">
      <c r="A72" s="33" t="s">
        <v>12</v>
      </c>
      <c r="B72" s="33" t="s">
        <v>38</v>
      </c>
      <c r="C72" s="34">
        <f>+C73+C76</f>
        <v>28727900</v>
      </c>
      <c r="D72" s="34">
        <f>+D73+D76</f>
        <v>29809000</v>
      </c>
      <c r="E72" s="34">
        <f>+E73+E76</f>
        <v>31070000</v>
      </c>
      <c r="F72" s="35">
        <f t="shared" si="6"/>
        <v>103.76324061278407</v>
      </c>
      <c r="G72" s="35">
        <f t="shared" si="7"/>
        <v>104.23026602703882</v>
      </c>
    </row>
    <row r="73" spans="1:7" s="2" customFormat="1" ht="16.5" customHeight="1">
      <c r="A73" s="69">
        <v>3</v>
      </c>
      <c r="B73" s="23" t="s">
        <v>14</v>
      </c>
      <c r="C73" s="24">
        <f>SUM(C74:C75)</f>
        <v>27591900</v>
      </c>
      <c r="D73" s="24">
        <f>SUM(D74:D75)</f>
        <v>28672000</v>
      </c>
      <c r="E73" s="24">
        <f>SUM(E74:E75)</f>
        <v>29933000</v>
      </c>
      <c r="F73" s="36">
        <f t="shared" si="6"/>
        <v>103.91455463378745</v>
      </c>
      <c r="G73" s="36">
        <f t="shared" si="7"/>
        <v>104.39801897321428</v>
      </c>
    </row>
    <row r="74" spans="1:7" s="3" customFormat="1" ht="16.5" customHeight="1">
      <c r="A74" s="70">
        <v>32</v>
      </c>
      <c r="B74" s="25" t="s">
        <v>15</v>
      </c>
      <c r="C74" s="4">
        <f>800000+3400000+5900000+1100000+5730000+150000+686900+3590000+1200000+320000+2500000+100000+1415000+650000</f>
        <v>27541900</v>
      </c>
      <c r="D74" s="26">
        <v>28620000</v>
      </c>
      <c r="E74" s="26">
        <f>29879000</f>
        <v>29879000</v>
      </c>
      <c r="F74" s="37">
        <f>+D74/C74*100</f>
        <v>103.9143995149209</v>
      </c>
      <c r="G74" s="37">
        <f>E74/D74*100</f>
        <v>104.3990216631726</v>
      </c>
    </row>
    <row r="75" spans="1:7" s="3" customFormat="1" ht="16.5" customHeight="1">
      <c r="A75" s="70">
        <v>38</v>
      </c>
      <c r="B75" s="25" t="s">
        <v>16</v>
      </c>
      <c r="C75" s="4">
        <v>50000</v>
      </c>
      <c r="D75" s="26">
        <f>INT((C75*F75/100)/1000)*1000</f>
        <v>52000</v>
      </c>
      <c r="E75" s="26">
        <f>INT((D75*G75/100)/1000)*1000</f>
        <v>54000</v>
      </c>
      <c r="F75" s="37">
        <v>104</v>
      </c>
      <c r="G75" s="37">
        <v>105.5</v>
      </c>
    </row>
    <row r="76" spans="1:7" s="2" customFormat="1" ht="31.5" customHeight="1">
      <c r="A76" s="69">
        <v>4</v>
      </c>
      <c r="B76" s="23" t="s">
        <v>25</v>
      </c>
      <c r="C76" s="24">
        <f>SUM(C77:C78)</f>
        <v>1136000</v>
      </c>
      <c r="D76" s="24">
        <f>SUM(D77:D78)</f>
        <v>1137000</v>
      </c>
      <c r="E76" s="24">
        <f>SUM(E77:E78)</f>
        <v>1137000</v>
      </c>
      <c r="F76" s="36">
        <f>D76/C76*100</f>
        <v>100.08802816901408</v>
      </c>
      <c r="G76" s="36">
        <f>E76/D76*100</f>
        <v>100</v>
      </c>
    </row>
    <row r="77" spans="1:7" s="3" customFormat="1" ht="29.25" customHeight="1">
      <c r="A77" s="70">
        <v>42</v>
      </c>
      <c r="B77" s="25" t="s">
        <v>26</v>
      </c>
      <c r="C77" s="4">
        <f>50000+86000</f>
        <v>136000</v>
      </c>
      <c r="D77" s="26">
        <f>INT((C77*F77/100)/1000)*1000</f>
        <v>137000</v>
      </c>
      <c r="E77" s="26">
        <f>INT((D77*G77/100)/1000)*1000</f>
        <v>137000</v>
      </c>
      <c r="F77" s="37">
        <v>101</v>
      </c>
      <c r="G77" s="37">
        <v>100.7</v>
      </c>
    </row>
    <row r="78" spans="1:7" s="3" customFormat="1" ht="31.5" customHeight="1">
      <c r="A78" s="70">
        <v>45</v>
      </c>
      <c r="B78" s="25" t="s">
        <v>39</v>
      </c>
      <c r="C78" s="4">
        <f>300000+100000+300000+300000</f>
        <v>1000000</v>
      </c>
      <c r="D78" s="26">
        <f>INT((C78*F78/100)/1000)*1000</f>
        <v>1000000</v>
      </c>
      <c r="E78" s="26">
        <f>INT((D78*G78/100)/1000)*1000</f>
        <v>1000000</v>
      </c>
      <c r="F78" s="37">
        <v>100</v>
      </c>
      <c r="G78" s="37">
        <v>100</v>
      </c>
    </row>
    <row r="79" spans="1:7" s="3" customFormat="1" ht="12.75">
      <c r="A79" s="70"/>
      <c r="B79" s="25"/>
      <c r="C79" s="4"/>
      <c r="D79" s="26"/>
      <c r="E79" s="26"/>
      <c r="F79" s="37"/>
      <c r="G79" s="37"/>
    </row>
    <row r="80" spans="1:7" s="1" customFormat="1" ht="29.25" customHeight="1">
      <c r="A80" s="23" t="s">
        <v>17</v>
      </c>
      <c r="B80" s="23" t="s">
        <v>40</v>
      </c>
      <c r="C80" s="24">
        <f>+C81+C84</f>
        <v>4550000</v>
      </c>
      <c r="D80" s="24">
        <f>+D81+D84</f>
        <v>4716000</v>
      </c>
      <c r="E80" s="24">
        <f>+E81+E84</f>
        <v>5938000</v>
      </c>
      <c r="F80" s="36">
        <f>D80/C80*100</f>
        <v>103.64835164835165</v>
      </c>
      <c r="G80" s="36">
        <f>E80/D80*100</f>
        <v>125.91178965224768</v>
      </c>
    </row>
    <row r="81" spans="1:7" s="2" customFormat="1" ht="12.75">
      <c r="A81" s="69">
        <v>3</v>
      </c>
      <c r="B81" s="23" t="s">
        <v>14</v>
      </c>
      <c r="C81" s="24">
        <f>SUM(C82:C83)</f>
        <v>1350000</v>
      </c>
      <c r="D81" s="24">
        <f>SUM(D82:D83)</f>
        <v>1416000</v>
      </c>
      <c r="E81" s="24">
        <f>SUM(E82:E83)</f>
        <v>1538000</v>
      </c>
      <c r="F81" s="36">
        <f>D81/C81*100</f>
        <v>104.8888888888889</v>
      </c>
      <c r="G81" s="36">
        <f>E81/D81*100</f>
        <v>108.61581920903956</v>
      </c>
    </row>
    <row r="82" spans="1:7" s="3" customFormat="1" ht="17.25" customHeight="1">
      <c r="A82" s="70">
        <v>32</v>
      </c>
      <c r="B82" s="25" t="s">
        <v>15</v>
      </c>
      <c r="C82" s="4">
        <v>950000</v>
      </c>
      <c r="D82" s="26">
        <v>1000000</v>
      </c>
      <c r="E82" s="26">
        <v>1100000</v>
      </c>
      <c r="F82" s="37">
        <f>+D82/C82*100</f>
        <v>105.26315789473684</v>
      </c>
      <c r="G82" s="37">
        <f>+E82/D82*100</f>
        <v>110.00000000000001</v>
      </c>
    </row>
    <row r="83" spans="1:7" s="3" customFormat="1" ht="17.25" customHeight="1">
      <c r="A83" s="70">
        <v>38</v>
      </c>
      <c r="B83" s="25" t="s">
        <v>16</v>
      </c>
      <c r="C83" s="4">
        <v>400000</v>
      </c>
      <c r="D83" s="26">
        <f>INT((C83*F83/100)/1000)*1000</f>
        <v>416000</v>
      </c>
      <c r="E83" s="26">
        <f>INT((D83*G83/100)/1000)*1000</f>
        <v>438000</v>
      </c>
      <c r="F83" s="37">
        <v>104</v>
      </c>
      <c r="G83" s="37">
        <v>105.5</v>
      </c>
    </row>
    <row r="84" spans="1:7" s="2" customFormat="1" ht="31.5" customHeight="1">
      <c r="A84" s="69">
        <v>4</v>
      </c>
      <c r="B84" s="23" t="s">
        <v>25</v>
      </c>
      <c r="C84" s="24">
        <f>SUM(C85:C86)</f>
        <v>3200000</v>
      </c>
      <c r="D84" s="24">
        <f>SUM(D85:D86)</f>
        <v>3300000</v>
      </c>
      <c r="E84" s="24">
        <f>SUM(E85:E86)</f>
        <v>4400000</v>
      </c>
      <c r="F84" s="36">
        <f>D84/C84*100</f>
        <v>103.125</v>
      </c>
      <c r="G84" s="36">
        <f>E84/D84*100</f>
        <v>133.33333333333331</v>
      </c>
    </row>
    <row r="85" spans="1:7" s="3" customFormat="1" ht="30" customHeight="1">
      <c r="A85" s="70">
        <v>42</v>
      </c>
      <c r="B85" s="25" t="s">
        <v>26</v>
      </c>
      <c r="C85" s="4">
        <v>1000000</v>
      </c>
      <c r="D85" s="26">
        <v>1100000</v>
      </c>
      <c r="E85" s="26">
        <v>1200000</v>
      </c>
      <c r="F85" s="37">
        <f>+D85/C85*100</f>
        <v>110.00000000000001</v>
      </c>
      <c r="G85" s="37">
        <f>+E85/D85*100</f>
        <v>109.09090909090908</v>
      </c>
    </row>
    <row r="86" spans="1:7" s="3" customFormat="1" ht="29.25" customHeight="1">
      <c r="A86" s="70">
        <v>45</v>
      </c>
      <c r="B86" s="25" t="s">
        <v>39</v>
      </c>
      <c r="C86" s="4">
        <v>2200000</v>
      </c>
      <c r="D86" s="4">
        <v>2200000</v>
      </c>
      <c r="E86" s="4">
        <v>3200000</v>
      </c>
      <c r="F86" s="37">
        <f>+D86/C86*100</f>
        <v>100</v>
      </c>
      <c r="G86" s="37">
        <f>+E86/D86*100</f>
        <v>145.45454545454547</v>
      </c>
    </row>
    <row r="87" spans="1:7" s="3" customFormat="1" ht="16.5" customHeight="1">
      <c r="A87" s="70"/>
      <c r="B87" s="25"/>
      <c r="C87" s="4"/>
      <c r="D87" s="4"/>
      <c r="E87" s="4"/>
      <c r="F87" s="37"/>
      <c r="G87" s="37"/>
    </row>
    <row r="88" spans="1:7" s="1" customFormat="1" ht="18.75" customHeight="1">
      <c r="A88" s="23" t="s">
        <v>19</v>
      </c>
      <c r="B88" s="23" t="s">
        <v>41</v>
      </c>
      <c r="C88" s="24">
        <f>+C89+C92</f>
        <v>2712000</v>
      </c>
      <c r="D88" s="24">
        <f>+D89+D92</f>
        <v>2733000</v>
      </c>
      <c r="E88" s="24">
        <f>+E89+E92</f>
        <v>2737000</v>
      </c>
      <c r="F88" s="36">
        <f>D88/C88*100</f>
        <v>100.77433628318585</v>
      </c>
      <c r="G88" s="36">
        <f>E88/D88*100</f>
        <v>100.14635931211124</v>
      </c>
    </row>
    <row r="89" spans="1:7" s="2" customFormat="1" ht="20.25" customHeight="1">
      <c r="A89" s="69">
        <v>3</v>
      </c>
      <c r="B89" s="23" t="s">
        <v>14</v>
      </c>
      <c r="C89" s="24">
        <f>SUM(C90:C91)</f>
        <v>2462000</v>
      </c>
      <c r="D89" s="24">
        <f>SUM(D90:D91)</f>
        <v>2483000</v>
      </c>
      <c r="E89" s="24">
        <f>SUM(E90:E91)</f>
        <v>2487000</v>
      </c>
      <c r="F89" s="36">
        <f>D89/C89*100</f>
        <v>100.85296506904955</v>
      </c>
      <c r="G89" s="36">
        <f>E89/D89*100</f>
        <v>100.16109544905356</v>
      </c>
    </row>
    <row r="90" spans="1:7" s="3" customFormat="1" ht="17.25" customHeight="1">
      <c r="A90" s="70">
        <v>32</v>
      </c>
      <c r="B90" s="25" t="s">
        <v>15</v>
      </c>
      <c r="C90" s="4">
        <f>55000+1100000+250000+50000+7000</f>
        <v>1462000</v>
      </c>
      <c r="D90" s="26">
        <f>INT((C90*F90/100)/1000)*1000</f>
        <v>1483000</v>
      </c>
      <c r="E90" s="26">
        <f>INT((D90*G90/100)/1000)*1000</f>
        <v>1487000</v>
      </c>
      <c r="F90" s="37">
        <v>101.5</v>
      </c>
      <c r="G90" s="37">
        <v>100.3</v>
      </c>
    </row>
    <row r="91" spans="1:7" s="3" customFormat="1" ht="18" customHeight="1">
      <c r="A91" s="70">
        <v>35</v>
      </c>
      <c r="B91" s="25" t="s">
        <v>42</v>
      </c>
      <c r="C91" s="4">
        <v>1000000</v>
      </c>
      <c r="D91" s="26">
        <f>C91*F91/100</f>
        <v>1000000</v>
      </c>
      <c r="E91" s="26">
        <f>D91*G91/100</f>
        <v>1000000</v>
      </c>
      <c r="F91" s="37">
        <v>100</v>
      </c>
      <c r="G91" s="37">
        <v>100</v>
      </c>
    </row>
    <row r="92" spans="1:7" s="2" customFormat="1" ht="28.5" customHeight="1">
      <c r="A92" s="69">
        <v>4</v>
      </c>
      <c r="B92" s="23" t="s">
        <v>25</v>
      </c>
      <c r="C92" s="24">
        <f>SUM(C93:C94)</f>
        <v>250000</v>
      </c>
      <c r="D92" s="24">
        <f>SUM(D93:D94)</f>
        <v>250000</v>
      </c>
      <c r="E92" s="24">
        <f>SUM(E93:E94)</f>
        <v>250000</v>
      </c>
      <c r="F92" s="36">
        <f>D92/C92*100</f>
        <v>100</v>
      </c>
      <c r="G92" s="36">
        <f>E92/D92*100</f>
        <v>100</v>
      </c>
    </row>
    <row r="93" spans="1:7" s="3" customFormat="1" ht="27.75" customHeight="1">
      <c r="A93" s="70">
        <v>42</v>
      </c>
      <c r="B93" s="25" t="s">
        <v>26</v>
      </c>
      <c r="C93" s="4">
        <v>100000</v>
      </c>
      <c r="D93" s="4">
        <v>100000</v>
      </c>
      <c r="E93" s="4">
        <v>100000</v>
      </c>
      <c r="F93" s="37">
        <f>+D93/C93*100</f>
        <v>100</v>
      </c>
      <c r="G93" s="37">
        <f>+E93/D93*100</f>
        <v>100</v>
      </c>
    </row>
    <row r="94" spans="1:7" s="3" customFormat="1" ht="29.25" customHeight="1">
      <c r="A94" s="70">
        <v>45</v>
      </c>
      <c r="B94" s="25" t="s">
        <v>39</v>
      </c>
      <c r="C94" s="4">
        <v>150000</v>
      </c>
      <c r="D94" s="4">
        <v>150000</v>
      </c>
      <c r="E94" s="4">
        <v>150000</v>
      </c>
      <c r="F94" s="37">
        <f>+D94/C94*100</f>
        <v>100</v>
      </c>
      <c r="G94" s="37">
        <f>+E94/D94*100</f>
        <v>100</v>
      </c>
    </row>
    <row r="95" spans="1:7" s="3" customFormat="1" ht="15.75" customHeight="1">
      <c r="A95" s="70"/>
      <c r="B95" s="25"/>
      <c r="C95" s="4"/>
      <c r="D95" s="4"/>
      <c r="E95" s="4"/>
      <c r="F95" s="37"/>
      <c r="G95" s="37"/>
    </row>
    <row r="96" spans="1:7" s="1" customFormat="1" ht="19.5" customHeight="1">
      <c r="A96" s="23" t="s">
        <v>29</v>
      </c>
      <c r="B96" s="23" t="s">
        <v>43</v>
      </c>
      <c r="C96" s="24">
        <f>+C97+C100</f>
        <v>6334000</v>
      </c>
      <c r="D96" s="24">
        <f>+D97+D100</f>
        <v>6400000</v>
      </c>
      <c r="E96" s="24">
        <f>+E97+E100</f>
        <v>9300000</v>
      </c>
      <c r="F96" s="36">
        <f>D96/C96*100</f>
        <v>101.04199557941268</v>
      </c>
      <c r="G96" s="36">
        <f>E96/D96*100</f>
        <v>145.3125</v>
      </c>
    </row>
    <row r="97" spans="1:7" s="2" customFormat="1" ht="16.5" customHeight="1">
      <c r="A97" s="69">
        <v>3</v>
      </c>
      <c r="B97" s="23" t="s">
        <v>14</v>
      </c>
      <c r="C97" s="24">
        <f>SUM(C98:C99)</f>
        <v>934000</v>
      </c>
      <c r="D97" s="24">
        <f>SUM(D98:D99)</f>
        <v>900000</v>
      </c>
      <c r="E97" s="24">
        <f>SUM(E98:E99)</f>
        <v>1100000</v>
      </c>
      <c r="F97" s="36">
        <f>D97/C97*100</f>
        <v>96.35974304068522</v>
      </c>
      <c r="G97" s="36">
        <f>E97/D97*100</f>
        <v>122.22222222222223</v>
      </c>
    </row>
    <row r="98" spans="1:7" s="3" customFormat="1" ht="12.75">
      <c r="A98" s="70">
        <v>32</v>
      </c>
      <c r="B98" s="25" t="s">
        <v>15</v>
      </c>
      <c r="C98" s="4">
        <v>100000</v>
      </c>
      <c r="D98" s="26">
        <v>100000</v>
      </c>
      <c r="E98" s="26">
        <v>100000</v>
      </c>
      <c r="F98" s="37">
        <f>+D98/C98*100</f>
        <v>100</v>
      </c>
      <c r="G98" s="37">
        <f>+E98/D98*100</f>
        <v>100</v>
      </c>
    </row>
    <row r="99" spans="1:7" s="3" customFormat="1" ht="12.75">
      <c r="A99" s="70">
        <v>38</v>
      </c>
      <c r="B99" s="25" t="s">
        <v>16</v>
      </c>
      <c r="C99" s="4">
        <v>834000</v>
      </c>
      <c r="D99" s="26">
        <v>800000</v>
      </c>
      <c r="E99" s="26">
        <v>1000000</v>
      </c>
      <c r="F99" s="37">
        <f>+D99/C99*100</f>
        <v>95.92326139088729</v>
      </c>
      <c r="G99" s="37">
        <f>+E99/D99*100</f>
        <v>125</v>
      </c>
    </row>
    <row r="100" spans="1:7" s="2" customFormat="1" ht="25.5">
      <c r="A100" s="69">
        <v>4</v>
      </c>
      <c r="B100" s="23" t="s">
        <v>25</v>
      </c>
      <c r="C100" s="24">
        <f>+C101</f>
        <v>5400000</v>
      </c>
      <c r="D100" s="24">
        <f>+D101</f>
        <v>5500000</v>
      </c>
      <c r="E100" s="24">
        <f>+E101</f>
        <v>8200000</v>
      </c>
      <c r="F100" s="36">
        <f aca="true" t="shared" si="8" ref="F100:G103">D100/C100*100</f>
        <v>101.85185185185186</v>
      </c>
      <c r="G100" s="36">
        <f t="shared" si="8"/>
        <v>149.0909090909091</v>
      </c>
    </row>
    <row r="101" spans="1:7" s="3" customFormat="1" ht="25.5">
      <c r="A101" s="70">
        <v>42</v>
      </c>
      <c r="B101" s="25" t="s">
        <v>26</v>
      </c>
      <c r="C101" s="4">
        <f>700000+1000000+1500000+2000000+200000</f>
        <v>5400000</v>
      </c>
      <c r="D101" s="4">
        <f>5500000</f>
        <v>5500000</v>
      </c>
      <c r="E101" s="4">
        <f>8700000-500000</f>
        <v>8200000</v>
      </c>
      <c r="F101" s="37">
        <f t="shared" si="8"/>
        <v>101.85185185185186</v>
      </c>
      <c r="G101" s="37">
        <f t="shared" si="8"/>
        <v>149.0909090909091</v>
      </c>
    </row>
    <row r="102" spans="1:7" ht="12.75">
      <c r="A102" s="23" t="s">
        <v>44</v>
      </c>
      <c r="B102" s="23" t="s">
        <v>45</v>
      </c>
      <c r="C102" s="24">
        <f>+C103</f>
        <v>2041000</v>
      </c>
      <c r="D102" s="24">
        <f>+D103</f>
        <v>2070000</v>
      </c>
      <c r="E102" s="24">
        <f>+E103</f>
        <v>2141000</v>
      </c>
      <c r="F102" s="36">
        <f t="shared" si="8"/>
        <v>101.42087212150905</v>
      </c>
      <c r="G102" s="36">
        <f t="shared" si="8"/>
        <v>103.42995169082126</v>
      </c>
    </row>
    <row r="103" spans="1:7" s="2" customFormat="1" ht="12.75">
      <c r="A103" s="69">
        <v>3</v>
      </c>
      <c r="B103" s="23" t="s">
        <v>14</v>
      </c>
      <c r="C103" s="24">
        <f>SUM(C104:C106)</f>
        <v>2041000</v>
      </c>
      <c r="D103" s="24">
        <f>SUM(D104:D106)</f>
        <v>2070000</v>
      </c>
      <c r="E103" s="24">
        <f>SUM(E104:E106)</f>
        <v>2141000</v>
      </c>
      <c r="F103" s="36">
        <f t="shared" si="8"/>
        <v>101.42087212150905</v>
      </c>
      <c r="G103" s="36">
        <f t="shared" si="8"/>
        <v>103.42995169082126</v>
      </c>
    </row>
    <row r="104" spans="1:7" s="3" customFormat="1" ht="12.75">
      <c r="A104" s="70">
        <v>32</v>
      </c>
      <c r="B104" s="25" t="s">
        <v>15</v>
      </c>
      <c r="C104" s="4">
        <f>400000+200000+86000+100000+5000+200000</f>
        <v>991000</v>
      </c>
      <c r="D104" s="26">
        <f aca="true" t="shared" si="9" ref="D104:E106">INT((C104*F104/100)/1000)*1000</f>
        <v>1005000</v>
      </c>
      <c r="E104" s="26">
        <f t="shared" si="9"/>
        <v>1020000</v>
      </c>
      <c r="F104" s="37">
        <v>101.5</v>
      </c>
      <c r="G104" s="37">
        <v>101.5</v>
      </c>
    </row>
    <row r="105" spans="1:7" s="3" customFormat="1" ht="38.25">
      <c r="A105" s="70">
        <v>37</v>
      </c>
      <c r="B105" s="25" t="s">
        <v>46</v>
      </c>
      <c r="C105" s="4">
        <v>1000000</v>
      </c>
      <c r="D105" s="26">
        <f t="shared" si="9"/>
        <v>1013000</v>
      </c>
      <c r="E105" s="26">
        <f t="shared" si="9"/>
        <v>1067000</v>
      </c>
      <c r="F105" s="37">
        <v>101.3</v>
      </c>
      <c r="G105" s="37">
        <v>105.4</v>
      </c>
    </row>
    <row r="106" spans="1:7" s="3" customFormat="1" ht="12.75">
      <c r="A106" s="70">
        <v>38</v>
      </c>
      <c r="B106" s="25" t="s">
        <v>16</v>
      </c>
      <c r="C106" s="4">
        <f>40000+10000</f>
        <v>50000</v>
      </c>
      <c r="D106" s="26">
        <f t="shared" si="9"/>
        <v>52000</v>
      </c>
      <c r="E106" s="26">
        <f t="shared" si="9"/>
        <v>54000</v>
      </c>
      <c r="F106" s="37">
        <v>104</v>
      </c>
      <c r="G106" s="37">
        <v>105.5</v>
      </c>
    </row>
    <row r="107" spans="1:7" s="3" customFormat="1" ht="13.5" thickBot="1">
      <c r="A107" s="84"/>
      <c r="B107" s="27"/>
      <c r="C107" s="28"/>
      <c r="D107" s="29"/>
      <c r="E107" s="29"/>
      <c r="F107" s="60"/>
      <c r="G107" s="60"/>
    </row>
    <row r="108" spans="1:7" s="1" customFormat="1" ht="43.5" thickBot="1">
      <c r="A108" s="57" t="s">
        <v>47</v>
      </c>
      <c r="B108" s="57" t="s">
        <v>48</v>
      </c>
      <c r="C108" s="58">
        <f>+C110+C118+C124</f>
        <v>5366000</v>
      </c>
      <c r="D108" s="58">
        <f>+D110+D118+D124</f>
        <v>5536000</v>
      </c>
      <c r="E108" s="58">
        <f>+E110+E118+E124</f>
        <v>5763000</v>
      </c>
      <c r="F108" s="59">
        <f aca="true" t="shared" si="10" ref="F108:G113">D108/C108*100</f>
        <v>103.16809541557959</v>
      </c>
      <c r="G108" s="59">
        <f t="shared" si="10"/>
        <v>104.10043352601157</v>
      </c>
    </row>
    <row r="109" spans="1:7" s="1" customFormat="1" ht="14.25">
      <c r="A109" s="61"/>
      <c r="B109" s="61"/>
      <c r="C109" s="62"/>
      <c r="D109" s="62"/>
      <c r="E109" s="62"/>
      <c r="F109" s="63"/>
      <c r="G109" s="63"/>
    </row>
    <row r="110" spans="1:7" s="1" customFormat="1" ht="20.25" customHeight="1">
      <c r="A110" s="23" t="s">
        <v>12</v>
      </c>
      <c r="B110" s="23" t="s">
        <v>49</v>
      </c>
      <c r="C110" s="24">
        <f>+C111+C115</f>
        <v>2210000</v>
      </c>
      <c r="D110" s="24">
        <f>+D111+D115</f>
        <v>2337000</v>
      </c>
      <c r="E110" s="24">
        <f>+E111+E115</f>
        <v>2508000</v>
      </c>
      <c r="F110" s="36">
        <f t="shared" si="10"/>
        <v>105.74660633484163</v>
      </c>
      <c r="G110" s="36">
        <f t="shared" si="10"/>
        <v>107.31707317073172</v>
      </c>
    </row>
    <row r="111" spans="1:7" s="2" customFormat="1" ht="12.75">
      <c r="A111" s="69">
        <v>3</v>
      </c>
      <c r="B111" s="23" t="s">
        <v>14</v>
      </c>
      <c r="C111" s="24">
        <f>SUM(C112:C114)</f>
        <v>1835000</v>
      </c>
      <c r="D111" s="24">
        <f>SUM(D112:D114)</f>
        <v>1937000</v>
      </c>
      <c r="E111" s="24">
        <f>SUM(E112:E114)</f>
        <v>2068000</v>
      </c>
      <c r="F111" s="36">
        <f t="shared" si="10"/>
        <v>105.55858310626702</v>
      </c>
      <c r="G111" s="36">
        <f t="shared" si="10"/>
        <v>106.76303562209601</v>
      </c>
    </row>
    <row r="112" spans="1:7" s="3" customFormat="1" ht="17.25" customHeight="1">
      <c r="A112" s="70">
        <v>32</v>
      </c>
      <c r="B112" s="25" t="s">
        <v>15</v>
      </c>
      <c r="C112" s="4">
        <f>75000+100000+100000+100000</f>
        <v>375000</v>
      </c>
      <c r="D112" s="26">
        <f aca="true" t="shared" si="11" ref="D112:E114">INT((C112*F112/100)/1000)*1000</f>
        <v>382000</v>
      </c>
      <c r="E112" s="26">
        <f t="shared" si="11"/>
        <v>392000</v>
      </c>
      <c r="F112" s="37">
        <v>102.1</v>
      </c>
      <c r="G112" s="37">
        <v>102.7</v>
      </c>
    </row>
    <row r="113" spans="1:7" s="3" customFormat="1" ht="15.75" customHeight="1">
      <c r="A113" s="70">
        <v>35</v>
      </c>
      <c r="B113" s="25" t="s">
        <v>42</v>
      </c>
      <c r="C113" s="4">
        <v>205000</v>
      </c>
      <c r="D113" s="26">
        <v>250000</v>
      </c>
      <c r="E113" s="26">
        <v>300000</v>
      </c>
      <c r="F113" s="37">
        <f t="shared" si="10"/>
        <v>121.95121951219512</v>
      </c>
      <c r="G113" s="37">
        <f t="shared" si="10"/>
        <v>120</v>
      </c>
    </row>
    <row r="114" spans="1:7" s="3" customFormat="1" ht="12.75">
      <c r="A114" s="70">
        <v>38</v>
      </c>
      <c r="B114" s="25" t="s">
        <v>16</v>
      </c>
      <c r="C114" s="4">
        <v>1255000</v>
      </c>
      <c r="D114" s="26">
        <f t="shared" si="11"/>
        <v>1305000</v>
      </c>
      <c r="E114" s="26">
        <f t="shared" si="11"/>
        <v>1376000</v>
      </c>
      <c r="F114" s="37">
        <v>104</v>
      </c>
      <c r="G114" s="37">
        <v>105.5</v>
      </c>
    </row>
    <row r="115" spans="1:7" s="3" customFormat="1" ht="25.5">
      <c r="A115" s="69">
        <v>4</v>
      </c>
      <c r="B115" s="23" t="s">
        <v>25</v>
      </c>
      <c r="C115" s="24">
        <f>+C116</f>
        <v>375000</v>
      </c>
      <c r="D115" s="24">
        <f>+D116</f>
        <v>400000</v>
      </c>
      <c r="E115" s="24">
        <f>+E116</f>
        <v>440000</v>
      </c>
      <c r="F115" s="36">
        <f>D115/C115*100</f>
        <v>106.66666666666667</v>
      </c>
      <c r="G115" s="36">
        <f>E115/D115*100</f>
        <v>110.00000000000001</v>
      </c>
    </row>
    <row r="116" spans="1:7" s="3" customFormat="1" ht="25.5">
      <c r="A116" s="70">
        <v>42</v>
      </c>
      <c r="B116" s="25" t="s">
        <v>86</v>
      </c>
      <c r="C116" s="4">
        <f>300000+75000</f>
        <v>375000</v>
      </c>
      <c r="D116" s="26">
        <v>400000</v>
      </c>
      <c r="E116" s="26">
        <v>440000</v>
      </c>
      <c r="F116" s="37">
        <f aca="true" t="shared" si="12" ref="F116:G119">D116/C116*100</f>
        <v>106.66666666666667</v>
      </c>
      <c r="G116" s="37">
        <f t="shared" si="12"/>
        <v>110.00000000000001</v>
      </c>
    </row>
    <row r="117" spans="1:7" s="3" customFormat="1" ht="12.75">
      <c r="A117" s="70"/>
      <c r="B117" s="25"/>
      <c r="C117" s="4"/>
      <c r="D117" s="26"/>
      <c r="E117" s="26"/>
      <c r="F117" s="37"/>
      <c r="G117" s="37"/>
    </row>
    <row r="118" spans="1:7" s="1" customFormat="1" ht="16.5" customHeight="1">
      <c r="A118" s="23" t="s">
        <v>17</v>
      </c>
      <c r="B118" s="23" t="s">
        <v>50</v>
      </c>
      <c r="C118" s="24">
        <f>+C119</f>
        <v>2640000</v>
      </c>
      <c r="D118" s="24">
        <f>+D119</f>
        <v>2667000</v>
      </c>
      <c r="E118" s="24">
        <f>+E119</f>
        <v>2700000</v>
      </c>
      <c r="F118" s="36">
        <f t="shared" si="12"/>
        <v>101.02272727272728</v>
      </c>
      <c r="G118" s="36">
        <f t="shared" si="12"/>
        <v>101.23734533183352</v>
      </c>
    </row>
    <row r="119" spans="1:7" s="2" customFormat="1" ht="12.75">
      <c r="A119" s="69">
        <v>3</v>
      </c>
      <c r="B119" s="23" t="s">
        <v>14</v>
      </c>
      <c r="C119" s="24">
        <f>SUM(C120:C122)</f>
        <v>2640000</v>
      </c>
      <c r="D119" s="24">
        <f>SUM(D120:D122)</f>
        <v>2667000</v>
      </c>
      <c r="E119" s="24">
        <f>SUM(E120:E122)</f>
        <v>2700000</v>
      </c>
      <c r="F119" s="36">
        <f t="shared" si="12"/>
        <v>101.02272727272728</v>
      </c>
      <c r="G119" s="36">
        <f t="shared" si="12"/>
        <v>101.23734533183352</v>
      </c>
    </row>
    <row r="120" spans="1:7" s="3" customFormat="1" ht="16.5" customHeight="1">
      <c r="A120" s="70">
        <v>32</v>
      </c>
      <c r="B120" s="25" t="s">
        <v>15</v>
      </c>
      <c r="C120" s="4">
        <f>5000+10000+20000+50000+565000</f>
        <v>650000</v>
      </c>
      <c r="D120" s="26">
        <f aca="true" t="shared" si="13" ref="D120:E122">INT((C120*F120/100)/1000)*1000</f>
        <v>663000</v>
      </c>
      <c r="E120" s="26">
        <f t="shared" si="13"/>
        <v>680000</v>
      </c>
      <c r="F120" s="37">
        <v>102.1</v>
      </c>
      <c r="G120" s="37">
        <v>102.7</v>
      </c>
    </row>
    <row r="121" spans="1:7" s="3" customFormat="1" ht="16.5" customHeight="1">
      <c r="A121" s="70">
        <v>35</v>
      </c>
      <c r="B121" s="25" t="s">
        <v>42</v>
      </c>
      <c r="C121" s="4">
        <f>400000+540000+830000+110000</f>
        <v>1880000</v>
      </c>
      <c r="D121" s="26">
        <v>1890000</v>
      </c>
      <c r="E121" s="26">
        <v>1900000</v>
      </c>
      <c r="F121" s="37">
        <f>D121/C121*100</f>
        <v>100.53191489361701</v>
      </c>
      <c r="G121" s="37">
        <f>E121/D121*100</f>
        <v>100.52910052910053</v>
      </c>
    </row>
    <row r="122" spans="1:7" s="3" customFormat="1" ht="16.5" customHeight="1">
      <c r="A122" s="70">
        <v>38</v>
      </c>
      <c r="B122" s="25" t="s">
        <v>16</v>
      </c>
      <c r="C122" s="4">
        <f>20000+80000+10000</f>
        <v>110000</v>
      </c>
      <c r="D122" s="26">
        <f t="shared" si="13"/>
        <v>114000</v>
      </c>
      <c r="E122" s="26">
        <f t="shared" si="13"/>
        <v>120000</v>
      </c>
      <c r="F122" s="37">
        <v>104</v>
      </c>
      <c r="G122" s="37">
        <v>105.5</v>
      </c>
    </row>
    <row r="123" spans="1:7" s="3" customFormat="1" ht="12.75">
      <c r="A123" s="70"/>
      <c r="B123" s="25"/>
      <c r="C123" s="4"/>
      <c r="D123" s="26"/>
      <c r="E123" s="26"/>
      <c r="F123" s="37"/>
      <c r="G123" s="37"/>
    </row>
    <row r="124" spans="1:7" s="1" customFormat="1" ht="17.25" customHeight="1">
      <c r="A124" s="23" t="s">
        <v>19</v>
      </c>
      <c r="B124" s="23" t="s">
        <v>51</v>
      </c>
      <c r="C124" s="24">
        <f>+C125</f>
        <v>516000</v>
      </c>
      <c r="D124" s="24">
        <f>+D125</f>
        <v>532000</v>
      </c>
      <c r="E124" s="24">
        <f>+E125</f>
        <v>555000</v>
      </c>
      <c r="F124" s="36">
        <f>D124/C124*100</f>
        <v>103.10077519379846</v>
      </c>
      <c r="G124" s="36">
        <f>E124/D124*100</f>
        <v>104.32330827067669</v>
      </c>
    </row>
    <row r="125" spans="1:7" s="2" customFormat="1" ht="20.25" customHeight="1">
      <c r="A125" s="69">
        <v>3</v>
      </c>
      <c r="B125" s="23" t="s">
        <v>14</v>
      </c>
      <c r="C125" s="24">
        <f>SUM(C126:C127)</f>
        <v>516000</v>
      </c>
      <c r="D125" s="24">
        <f>SUM(D126:D127)</f>
        <v>532000</v>
      </c>
      <c r="E125" s="24">
        <f>SUM(E126:E127)</f>
        <v>555000</v>
      </c>
      <c r="F125" s="36">
        <f>D125/C125*100</f>
        <v>103.10077519379846</v>
      </c>
      <c r="G125" s="36">
        <f>E125/D125*100</f>
        <v>104.32330827067669</v>
      </c>
    </row>
    <row r="126" spans="1:7" s="3" customFormat="1" ht="20.25" customHeight="1">
      <c r="A126" s="70">
        <v>32</v>
      </c>
      <c r="B126" s="25" t="s">
        <v>15</v>
      </c>
      <c r="C126" s="4">
        <v>170000</v>
      </c>
      <c r="D126" s="26">
        <f>INT((C126*F126/100)/1000)*1000</f>
        <v>173000</v>
      </c>
      <c r="E126" s="26">
        <f>INT((D126*G126/100)/1000)*1000</f>
        <v>177000</v>
      </c>
      <c r="F126" s="37">
        <v>102.1</v>
      </c>
      <c r="G126" s="37">
        <v>102.7</v>
      </c>
    </row>
    <row r="127" spans="1:7" s="3" customFormat="1" ht="20.25" customHeight="1">
      <c r="A127" s="70">
        <v>38</v>
      </c>
      <c r="B127" s="25" t="s">
        <v>16</v>
      </c>
      <c r="C127" s="4">
        <f>130000+141000+35000+40000</f>
        <v>346000</v>
      </c>
      <c r="D127" s="26">
        <f>INT((C127*F127/100)/1000)*1000</f>
        <v>359000</v>
      </c>
      <c r="E127" s="26">
        <f>INT((D127*G127/100)/1000)*1000</f>
        <v>378000</v>
      </c>
      <c r="F127" s="37">
        <v>104</v>
      </c>
      <c r="G127" s="37">
        <v>105.5</v>
      </c>
    </row>
    <row r="128" spans="1:7" s="3" customFormat="1" ht="13.5" thickBot="1">
      <c r="A128" s="84"/>
      <c r="B128" s="27"/>
      <c r="C128" s="28"/>
      <c r="D128" s="29"/>
      <c r="E128" s="29"/>
      <c r="F128" s="60"/>
      <c r="G128" s="60"/>
    </row>
    <row r="129" spans="1:7" s="1" customFormat="1" ht="33" customHeight="1" thickBot="1">
      <c r="A129" s="57" t="s">
        <v>52</v>
      </c>
      <c r="B129" s="57" t="s">
        <v>53</v>
      </c>
      <c r="C129" s="58">
        <f>+C131+C152+C185+C192+C196</f>
        <v>60985714</v>
      </c>
      <c r="D129" s="58">
        <f>+D131+D152+D185+D192+D196</f>
        <v>62039500</v>
      </c>
      <c r="E129" s="58">
        <f>+E131+E152+E185+E192+E196</f>
        <v>63469500</v>
      </c>
      <c r="F129" s="59">
        <f aca="true" t="shared" si="14" ref="F129:G132">D129/C129*100</f>
        <v>101.72792270661945</v>
      </c>
      <c r="G129" s="59">
        <f t="shared" si="14"/>
        <v>102.3049831155957</v>
      </c>
    </row>
    <row r="130" spans="1:7" s="1" customFormat="1" ht="12" customHeight="1">
      <c r="A130" s="61"/>
      <c r="B130" s="61"/>
      <c r="C130" s="62"/>
      <c r="D130" s="62"/>
      <c r="E130" s="62"/>
      <c r="F130" s="63"/>
      <c r="G130" s="63"/>
    </row>
    <row r="131" spans="1:7" ht="19.5" customHeight="1">
      <c r="A131" s="23" t="s">
        <v>12</v>
      </c>
      <c r="B131" s="23" t="s">
        <v>54</v>
      </c>
      <c r="C131" s="24">
        <f>+C132+C135+C146</f>
        <v>24299534</v>
      </c>
      <c r="D131" s="24">
        <f>+D132+D135+D146</f>
        <v>24614300</v>
      </c>
      <c r="E131" s="24">
        <f>+E132+E135+E146</f>
        <v>25047300</v>
      </c>
      <c r="F131" s="36">
        <f t="shared" si="14"/>
        <v>101.2953581743584</v>
      </c>
      <c r="G131" s="36">
        <f t="shared" si="14"/>
        <v>101.75914001210677</v>
      </c>
    </row>
    <row r="132" spans="1:7" s="2" customFormat="1" ht="16.5" customHeight="1">
      <c r="A132" s="69">
        <v>3</v>
      </c>
      <c r="B132" s="23" t="s">
        <v>14</v>
      </c>
      <c r="C132" s="24">
        <f>SUM(C133:C134)</f>
        <v>900000</v>
      </c>
      <c r="D132" s="24">
        <f>SUM(D133:D134)</f>
        <v>922000</v>
      </c>
      <c r="E132" s="24">
        <f>SUM(E133:E134)</f>
        <v>971000</v>
      </c>
      <c r="F132" s="36">
        <f t="shared" si="14"/>
        <v>102.44444444444444</v>
      </c>
      <c r="G132" s="36">
        <f t="shared" si="14"/>
        <v>105.31453362255965</v>
      </c>
    </row>
    <row r="133" spans="1:7" s="3" customFormat="1" ht="38.25">
      <c r="A133" s="70">
        <v>37</v>
      </c>
      <c r="B133" s="25" t="s">
        <v>46</v>
      </c>
      <c r="C133" s="4">
        <v>480000</v>
      </c>
      <c r="D133" s="26">
        <f>INT((C133*F133/100)/1000)*1000</f>
        <v>486000</v>
      </c>
      <c r="E133" s="26">
        <f>INT((D133*G133/100)/1000)*1000</f>
        <v>512000</v>
      </c>
      <c r="F133" s="37">
        <v>101.3</v>
      </c>
      <c r="G133" s="37">
        <v>105.4</v>
      </c>
    </row>
    <row r="134" spans="1:7" s="3" customFormat="1" ht="12.75">
      <c r="A134" s="70">
        <v>38</v>
      </c>
      <c r="B134" s="25" t="s">
        <v>16</v>
      </c>
      <c r="C134" s="4">
        <f>120000+120000+20000+4000+156000</f>
        <v>420000</v>
      </c>
      <c r="D134" s="26">
        <f>INT((C134*F134/100)/1000)*1000</f>
        <v>436000</v>
      </c>
      <c r="E134" s="26">
        <f>INT((D134*G134/100)/1000)*1000</f>
        <v>459000</v>
      </c>
      <c r="F134" s="37">
        <v>104</v>
      </c>
      <c r="G134" s="37">
        <v>105.5</v>
      </c>
    </row>
    <row r="135" spans="1:7" s="1" customFormat="1" ht="24.75" customHeight="1">
      <c r="A135" s="23" t="s">
        <v>55</v>
      </c>
      <c r="B135" s="23" t="s">
        <v>56</v>
      </c>
      <c r="C135" s="24">
        <f>+C136+C142</f>
        <v>13121554</v>
      </c>
      <c r="D135" s="24">
        <f>+D136+D142</f>
        <v>13406000</v>
      </c>
      <c r="E135" s="24">
        <f>+E136+E142</f>
        <v>13779000</v>
      </c>
      <c r="F135" s="36">
        <f aca="true" t="shared" si="15" ref="F135:G137">D135/C135*100</f>
        <v>102.167776774001</v>
      </c>
      <c r="G135" s="36">
        <f t="shared" si="15"/>
        <v>102.78233626734298</v>
      </c>
    </row>
    <row r="136" spans="1:7" s="2" customFormat="1" ht="12.75">
      <c r="A136" s="69">
        <v>3</v>
      </c>
      <c r="B136" s="23" t="s">
        <v>14</v>
      </c>
      <c r="C136" s="24">
        <f>SUM(C137:C141)</f>
        <v>11419014</v>
      </c>
      <c r="D136" s="24">
        <f>SUM(D137:D141)</f>
        <v>11646000</v>
      </c>
      <c r="E136" s="24">
        <f>SUM(E137:E141)</f>
        <v>11964000</v>
      </c>
      <c r="F136" s="36">
        <f t="shared" si="15"/>
        <v>101.98778983894756</v>
      </c>
      <c r="G136" s="36">
        <f t="shared" si="15"/>
        <v>102.73055126223596</v>
      </c>
    </row>
    <row r="137" spans="1:7" s="3" customFormat="1" ht="21.75" customHeight="1">
      <c r="A137" s="70">
        <v>31</v>
      </c>
      <c r="B137" s="25" t="s">
        <v>23</v>
      </c>
      <c r="C137" s="4">
        <v>1000000</v>
      </c>
      <c r="D137" s="26">
        <v>1000000</v>
      </c>
      <c r="E137" s="26">
        <v>1000000</v>
      </c>
      <c r="F137" s="37">
        <f t="shared" si="15"/>
        <v>100</v>
      </c>
      <c r="G137" s="37">
        <f t="shared" si="15"/>
        <v>100</v>
      </c>
    </row>
    <row r="138" spans="1:7" s="3" customFormat="1" ht="21.75" customHeight="1">
      <c r="A138" s="70">
        <v>32</v>
      </c>
      <c r="B138" s="25" t="s">
        <v>15</v>
      </c>
      <c r="C138" s="4">
        <f>8315961+359300+730753+77000+10000</f>
        <v>9493014</v>
      </c>
      <c r="D138" s="26">
        <f aca="true" t="shared" si="16" ref="D138:E141">INT((C138*F138/100)/1000)*1000</f>
        <v>9692000</v>
      </c>
      <c r="E138" s="26">
        <f t="shared" si="16"/>
        <v>9953000</v>
      </c>
      <c r="F138" s="37">
        <v>102.1</v>
      </c>
      <c r="G138" s="37">
        <v>102.7</v>
      </c>
    </row>
    <row r="139" spans="1:7" s="3" customFormat="1" ht="21.75" customHeight="1">
      <c r="A139" s="70">
        <v>34</v>
      </c>
      <c r="B139" s="25" t="s">
        <v>24</v>
      </c>
      <c r="C139" s="4">
        <v>90000</v>
      </c>
      <c r="D139" s="26">
        <f t="shared" si="16"/>
        <v>99000</v>
      </c>
      <c r="E139" s="26">
        <f t="shared" si="16"/>
        <v>111000</v>
      </c>
      <c r="F139" s="37">
        <v>110.2</v>
      </c>
      <c r="G139" s="37">
        <v>112.4</v>
      </c>
    </row>
    <row r="140" spans="1:7" s="3" customFormat="1" ht="42.75" customHeight="1">
      <c r="A140" s="70">
        <v>37</v>
      </c>
      <c r="B140" s="25" t="s">
        <v>46</v>
      </c>
      <c r="C140" s="4">
        <f>30000+460000</f>
        <v>490000</v>
      </c>
      <c r="D140" s="26">
        <f t="shared" si="16"/>
        <v>496000</v>
      </c>
      <c r="E140" s="26">
        <f t="shared" si="16"/>
        <v>522000</v>
      </c>
      <c r="F140" s="37">
        <v>101.3</v>
      </c>
      <c r="G140" s="37">
        <v>105.4</v>
      </c>
    </row>
    <row r="141" spans="1:7" s="3" customFormat="1" ht="18.75" customHeight="1">
      <c r="A141" s="70">
        <v>38</v>
      </c>
      <c r="B141" s="25" t="s">
        <v>16</v>
      </c>
      <c r="C141" s="4">
        <f>20000+60000+76000+50000+140000</f>
        <v>346000</v>
      </c>
      <c r="D141" s="26">
        <f t="shared" si="16"/>
        <v>359000</v>
      </c>
      <c r="E141" s="26">
        <f t="shared" si="16"/>
        <v>378000</v>
      </c>
      <c r="F141" s="37">
        <v>104</v>
      </c>
      <c r="G141" s="37">
        <v>105.5</v>
      </c>
    </row>
    <row r="142" spans="1:7" s="2" customFormat="1" ht="33" customHeight="1">
      <c r="A142" s="69">
        <v>4</v>
      </c>
      <c r="B142" s="23" t="s">
        <v>25</v>
      </c>
      <c r="C142" s="24">
        <f>SUM(C143:C144)</f>
        <v>1702540</v>
      </c>
      <c r="D142" s="24">
        <f>SUM(D143:D144)</f>
        <v>1760000</v>
      </c>
      <c r="E142" s="24">
        <f>SUM(E143:E144)</f>
        <v>1815000</v>
      </c>
      <c r="F142" s="36">
        <f aca="true" t="shared" si="17" ref="F142:G147">D142/C142*100</f>
        <v>103.37495741656583</v>
      </c>
      <c r="G142" s="36">
        <f t="shared" si="17"/>
        <v>103.125</v>
      </c>
    </row>
    <row r="143" spans="1:7" s="3" customFormat="1" ht="30.75" customHeight="1">
      <c r="A143" s="70">
        <v>42</v>
      </c>
      <c r="B143" s="25" t="s">
        <v>26</v>
      </c>
      <c r="C143" s="4">
        <f>100000+55500</f>
        <v>155500</v>
      </c>
      <c r="D143" s="26">
        <v>160000</v>
      </c>
      <c r="E143" s="26">
        <v>165000</v>
      </c>
      <c r="F143" s="37">
        <f t="shared" si="17"/>
        <v>102.89389067524115</v>
      </c>
      <c r="G143" s="37">
        <f t="shared" si="17"/>
        <v>103.125</v>
      </c>
    </row>
    <row r="144" spans="1:7" s="3" customFormat="1" ht="31.5" customHeight="1">
      <c r="A144" s="70">
        <v>45</v>
      </c>
      <c r="B144" s="25" t="s">
        <v>39</v>
      </c>
      <c r="C144" s="4">
        <v>1547040</v>
      </c>
      <c r="D144" s="26">
        <v>1600000</v>
      </c>
      <c r="E144" s="26">
        <v>1650000</v>
      </c>
      <c r="F144" s="37">
        <f t="shared" si="17"/>
        <v>103.42331161443789</v>
      </c>
      <c r="G144" s="37">
        <f t="shared" si="17"/>
        <v>103.125</v>
      </c>
    </row>
    <row r="145" spans="1:7" s="3" customFormat="1" ht="31.5" customHeight="1">
      <c r="A145" s="70"/>
      <c r="B145" s="25"/>
      <c r="C145" s="4"/>
      <c r="D145" s="26"/>
      <c r="E145" s="26"/>
      <c r="F145" s="37"/>
      <c r="G145" s="37"/>
    </row>
    <row r="146" spans="1:7" ht="29.25" customHeight="1">
      <c r="A146" s="23" t="s">
        <v>97</v>
      </c>
      <c r="B146" s="23" t="s">
        <v>57</v>
      </c>
      <c r="C146" s="24">
        <f>+C147</f>
        <v>10277980</v>
      </c>
      <c r="D146" s="24">
        <f>+D147</f>
        <v>10286300</v>
      </c>
      <c r="E146" s="24">
        <f>+E147</f>
        <v>10297300</v>
      </c>
      <c r="F146" s="36">
        <f t="shared" si="17"/>
        <v>100.08094975861015</v>
      </c>
      <c r="G146" s="36">
        <f t="shared" si="17"/>
        <v>100.10693835489923</v>
      </c>
    </row>
    <row r="147" spans="1:7" s="2" customFormat="1" ht="12.75">
      <c r="A147" s="69">
        <v>3</v>
      </c>
      <c r="B147" s="23" t="s">
        <v>14</v>
      </c>
      <c r="C147" s="24">
        <f>SUM(C148:C150)</f>
        <v>10277980</v>
      </c>
      <c r="D147" s="24">
        <f>SUM(D148:D150)</f>
        <v>10286300</v>
      </c>
      <c r="E147" s="24">
        <f>SUM(E148:E150)</f>
        <v>10297300</v>
      </c>
      <c r="F147" s="36">
        <f t="shared" si="17"/>
        <v>100.08094975861015</v>
      </c>
      <c r="G147" s="36">
        <f t="shared" si="17"/>
        <v>100.10693835489923</v>
      </c>
    </row>
    <row r="148" spans="1:7" s="3" customFormat="1" ht="12.75">
      <c r="A148" s="70">
        <v>31</v>
      </c>
      <c r="B148" s="25" t="s">
        <v>23</v>
      </c>
      <c r="C148" s="4">
        <v>9979300</v>
      </c>
      <c r="D148" s="4">
        <v>9979300</v>
      </c>
      <c r="E148" s="4">
        <v>9979300</v>
      </c>
      <c r="F148" s="37">
        <f>D148/C148*100</f>
        <v>100</v>
      </c>
      <c r="G148" s="37">
        <f>E148/D148*100</f>
        <v>100</v>
      </c>
    </row>
    <row r="149" spans="1:7" s="3" customFormat="1" ht="12.75">
      <c r="A149" s="70">
        <v>32</v>
      </c>
      <c r="B149" s="25" t="s">
        <v>15</v>
      </c>
      <c r="C149" s="4">
        <f>43680+100000</f>
        <v>143680</v>
      </c>
      <c r="D149" s="26">
        <f>INT((C149*F149/100)/1000)*1000</f>
        <v>146000</v>
      </c>
      <c r="E149" s="26">
        <f>INT((D149*G149/100)/1000)*1000</f>
        <v>149000</v>
      </c>
      <c r="F149" s="37">
        <v>102.1</v>
      </c>
      <c r="G149" s="37">
        <v>102.7</v>
      </c>
    </row>
    <row r="150" spans="1:7" s="3" customFormat="1" ht="12.75">
      <c r="A150" s="70">
        <v>38</v>
      </c>
      <c r="B150" s="25" t="s">
        <v>16</v>
      </c>
      <c r="C150" s="4">
        <f>70000+85000</f>
        <v>155000</v>
      </c>
      <c r="D150" s="26">
        <f>INT((C150*F150/100)/1000)*1000</f>
        <v>161000</v>
      </c>
      <c r="E150" s="26">
        <f>INT((D150*G150/100)/1000)*1000</f>
        <v>169000</v>
      </c>
      <c r="F150" s="37">
        <v>104</v>
      </c>
      <c r="G150" s="37">
        <v>105.5</v>
      </c>
    </row>
    <row r="151" spans="1:7" s="3" customFormat="1" ht="12.75">
      <c r="A151" s="70"/>
      <c r="B151" s="25"/>
      <c r="C151" s="4"/>
      <c r="D151" s="26"/>
      <c r="E151" s="26"/>
      <c r="F151" s="37"/>
      <c r="G151" s="37"/>
    </row>
    <row r="152" spans="1:7" s="1" customFormat="1" ht="21" customHeight="1">
      <c r="A152" s="23" t="s">
        <v>17</v>
      </c>
      <c r="B152" s="23" t="s">
        <v>58</v>
      </c>
      <c r="C152" s="24">
        <f>+C154+C160+C168+C178+C181</f>
        <v>15428180</v>
      </c>
      <c r="D152" s="24">
        <f>+D154+D160+D168+D178+D181</f>
        <v>14846200</v>
      </c>
      <c r="E152" s="24">
        <f>+E154+E160+E168+E178+E181</f>
        <v>15088200</v>
      </c>
      <c r="F152" s="36">
        <f aca="true" t="shared" si="18" ref="F152:G155">D152/C152*100</f>
        <v>96.22781170559327</v>
      </c>
      <c r="G152" s="36">
        <f t="shared" si="18"/>
        <v>101.63004674596867</v>
      </c>
    </row>
    <row r="153" spans="1:7" s="1" customFormat="1" ht="21" customHeight="1">
      <c r="A153" s="23"/>
      <c r="B153" s="23"/>
      <c r="C153" s="24"/>
      <c r="D153" s="24"/>
      <c r="E153" s="24"/>
      <c r="F153" s="36"/>
      <c r="G153" s="36"/>
    </row>
    <row r="154" spans="1:7" s="1" customFormat="1" ht="33" customHeight="1">
      <c r="A154" s="23" t="s">
        <v>21</v>
      </c>
      <c r="B154" s="23" t="s">
        <v>59</v>
      </c>
      <c r="C154" s="24">
        <f>+C155</f>
        <v>5932170</v>
      </c>
      <c r="D154" s="24">
        <f>+D155</f>
        <v>5962700</v>
      </c>
      <c r="E154" s="24">
        <f>+E155</f>
        <v>6002700</v>
      </c>
      <c r="F154" s="36">
        <f t="shared" si="18"/>
        <v>100.51465146818113</v>
      </c>
      <c r="G154" s="36">
        <f t="shared" si="18"/>
        <v>100.6708370369128</v>
      </c>
    </row>
    <row r="155" spans="1:7" s="2" customFormat="1" ht="12.75">
      <c r="A155" s="69">
        <v>3</v>
      </c>
      <c r="B155" s="23" t="s">
        <v>14</v>
      </c>
      <c r="C155" s="24">
        <f>SUM(C156:C158)</f>
        <v>5932170</v>
      </c>
      <c r="D155" s="24">
        <f>SUM(D156:D158)</f>
        <v>5962700</v>
      </c>
      <c r="E155" s="24">
        <f>SUM(E156:E158)</f>
        <v>6002700</v>
      </c>
      <c r="F155" s="36">
        <f t="shared" si="18"/>
        <v>100.51465146818113</v>
      </c>
      <c r="G155" s="36">
        <f t="shared" si="18"/>
        <v>100.6708370369128</v>
      </c>
    </row>
    <row r="156" spans="1:7" s="3" customFormat="1" ht="12.75">
      <c r="A156" s="70">
        <v>31</v>
      </c>
      <c r="B156" s="25" t="s">
        <v>23</v>
      </c>
      <c r="C156" s="4">
        <v>4457700</v>
      </c>
      <c r="D156" s="4">
        <v>4457700</v>
      </c>
      <c r="E156" s="4">
        <v>4457700</v>
      </c>
      <c r="F156" s="37">
        <f>D156/C156*100</f>
        <v>100</v>
      </c>
      <c r="G156" s="37">
        <f>E156/D156*100</f>
        <v>100</v>
      </c>
    </row>
    <row r="157" spans="1:7" s="3" customFormat="1" ht="12.75">
      <c r="A157" s="70">
        <v>32</v>
      </c>
      <c r="B157" s="25" t="s">
        <v>15</v>
      </c>
      <c r="C157" s="4">
        <f>1366500+101600</f>
        <v>1468100</v>
      </c>
      <c r="D157" s="26">
        <f>INT((C157*F157/100)/1000)*1000</f>
        <v>1498000</v>
      </c>
      <c r="E157" s="26">
        <f>INT((D157*G157/100)/1000)*1000</f>
        <v>1538000</v>
      </c>
      <c r="F157" s="37">
        <v>102.1</v>
      </c>
      <c r="G157" s="37">
        <v>102.7</v>
      </c>
    </row>
    <row r="158" spans="1:7" s="3" customFormat="1" ht="12.75">
      <c r="A158" s="70">
        <v>34</v>
      </c>
      <c r="B158" s="25" t="s">
        <v>24</v>
      </c>
      <c r="C158" s="4">
        <v>6370</v>
      </c>
      <c r="D158" s="26">
        <v>7000</v>
      </c>
      <c r="E158" s="26">
        <v>7000</v>
      </c>
      <c r="F158" s="37">
        <f aca="true" t="shared" si="19" ref="F158:G161">D158/C158*100</f>
        <v>109.8901098901099</v>
      </c>
      <c r="G158" s="37">
        <f t="shared" si="19"/>
        <v>100</v>
      </c>
    </row>
    <row r="159" spans="1:7" s="3" customFormat="1" ht="12.75">
      <c r="A159" s="70"/>
      <c r="B159" s="25"/>
      <c r="C159" s="4"/>
      <c r="D159" s="26"/>
      <c r="E159" s="26"/>
      <c r="F159" s="37"/>
      <c r="G159" s="37"/>
    </row>
    <row r="160" spans="1:7" s="1" customFormat="1" ht="28.5" customHeight="1">
      <c r="A160" s="23" t="s">
        <v>60</v>
      </c>
      <c r="B160" s="23" t="s">
        <v>61</v>
      </c>
      <c r="C160" s="24">
        <f>+C161+C165</f>
        <v>2758610</v>
      </c>
      <c r="D160" s="24">
        <f>+D161+D165</f>
        <v>2776100</v>
      </c>
      <c r="E160" s="24">
        <f>+E161+E165</f>
        <v>2799100</v>
      </c>
      <c r="F160" s="36">
        <f t="shared" si="19"/>
        <v>100.63401495680795</v>
      </c>
      <c r="G160" s="36">
        <f t="shared" si="19"/>
        <v>100.8285004142502</v>
      </c>
    </row>
    <row r="161" spans="1:7" s="2" customFormat="1" ht="12.75">
      <c r="A161" s="69">
        <v>3</v>
      </c>
      <c r="B161" s="23" t="s">
        <v>14</v>
      </c>
      <c r="C161" s="24">
        <f>SUM(C162:C164)</f>
        <v>2693610</v>
      </c>
      <c r="D161" s="24">
        <f>SUM(D162:D164)</f>
        <v>2711100</v>
      </c>
      <c r="E161" s="24">
        <f>SUM(E162:E164)</f>
        <v>2734100</v>
      </c>
      <c r="F161" s="36">
        <f t="shared" si="19"/>
        <v>100.64931448873445</v>
      </c>
      <c r="G161" s="36">
        <f t="shared" si="19"/>
        <v>100.84836413263989</v>
      </c>
    </row>
    <row r="162" spans="1:7" s="3" customFormat="1" ht="12.75">
      <c r="A162" s="70">
        <v>31</v>
      </c>
      <c r="B162" s="25" t="s">
        <v>23</v>
      </c>
      <c r="C162" s="4">
        <v>1850050</v>
      </c>
      <c r="D162" s="4">
        <f>1850050+50</f>
        <v>1850100</v>
      </c>
      <c r="E162" s="4">
        <f>1850050+50</f>
        <v>1850100</v>
      </c>
      <c r="F162" s="37">
        <f>D162/C162*100</f>
        <v>100.00270262965867</v>
      </c>
      <c r="G162" s="37">
        <f>E162/D162*100</f>
        <v>100</v>
      </c>
    </row>
    <row r="163" spans="1:7" s="3" customFormat="1" ht="12.75">
      <c r="A163" s="70">
        <v>32</v>
      </c>
      <c r="B163" s="25" t="s">
        <v>15</v>
      </c>
      <c r="C163" s="4">
        <f>738800+95760</f>
        <v>834560</v>
      </c>
      <c r="D163" s="26">
        <f>INT((C163*F163/100)/1000)*1000</f>
        <v>852000</v>
      </c>
      <c r="E163" s="26">
        <f>INT((D163*G163/100)/1000)*1000</f>
        <v>875000</v>
      </c>
      <c r="F163" s="37">
        <v>102.1</v>
      </c>
      <c r="G163" s="37">
        <v>102.7</v>
      </c>
    </row>
    <row r="164" spans="1:7" s="3" customFormat="1" ht="12.75">
      <c r="A164" s="70">
        <v>34</v>
      </c>
      <c r="B164" s="25" t="s">
        <v>24</v>
      </c>
      <c r="C164" s="4">
        <v>9000</v>
      </c>
      <c r="D164" s="26">
        <f>INT((C164*F164/100)/1000)*1000</f>
        <v>9000</v>
      </c>
      <c r="E164" s="26">
        <f>INT((D164*G164/100)/1000)*1000</f>
        <v>9000</v>
      </c>
      <c r="F164" s="37">
        <v>100</v>
      </c>
      <c r="G164" s="37">
        <v>100.8</v>
      </c>
    </row>
    <row r="165" spans="1:7" s="2" customFormat="1" ht="25.5">
      <c r="A165" s="69">
        <v>4</v>
      </c>
      <c r="B165" s="23" t="s">
        <v>25</v>
      </c>
      <c r="C165" s="24">
        <f>+C166</f>
        <v>65000</v>
      </c>
      <c r="D165" s="24">
        <f>+D166</f>
        <v>65000</v>
      </c>
      <c r="E165" s="24">
        <f>+E166</f>
        <v>65000</v>
      </c>
      <c r="F165" s="36">
        <f>D165/C165*100</f>
        <v>100</v>
      </c>
      <c r="G165" s="36">
        <f>E165/D165*100</f>
        <v>100</v>
      </c>
    </row>
    <row r="166" spans="1:7" s="3" customFormat="1" ht="25.5">
      <c r="A166" s="70">
        <v>42</v>
      </c>
      <c r="B166" s="25" t="s">
        <v>26</v>
      </c>
      <c r="C166" s="4">
        <f>16000+19000+30000</f>
        <v>65000</v>
      </c>
      <c r="D166" s="26">
        <f>INT((C166*F166/100)/1000)*1000</f>
        <v>65000</v>
      </c>
      <c r="E166" s="26">
        <f>INT((D166*G166/100)/1000)*1000</f>
        <v>65000</v>
      </c>
      <c r="F166" s="37">
        <v>101</v>
      </c>
      <c r="G166" s="37">
        <v>100.9</v>
      </c>
    </row>
    <row r="167" spans="1:7" s="3" customFormat="1" ht="12.75">
      <c r="A167" s="70"/>
      <c r="B167" s="25"/>
      <c r="C167" s="4"/>
      <c r="D167" s="26"/>
      <c r="E167" s="26"/>
      <c r="F167" s="37"/>
      <c r="G167" s="37"/>
    </row>
    <row r="168" spans="1:7" s="1" customFormat="1" ht="23.25" customHeight="1">
      <c r="A168" s="23" t="s">
        <v>62</v>
      </c>
      <c r="B168" s="23" t="s">
        <v>63</v>
      </c>
      <c r="C168" s="24">
        <f>+C169+C173+C175</f>
        <v>3448230</v>
      </c>
      <c r="D168" s="24">
        <f>+D169+D173+D175</f>
        <v>2687900</v>
      </c>
      <c r="E168" s="24">
        <f>+E169+E173+E175</f>
        <v>2679900</v>
      </c>
      <c r="F168" s="36">
        <f aca="true" t="shared" si="20" ref="F168:G170">D168/C168*100</f>
        <v>77.95013673681859</v>
      </c>
      <c r="G168" s="36">
        <f t="shared" si="20"/>
        <v>99.70236987983185</v>
      </c>
    </row>
    <row r="169" spans="1:7" s="2" customFormat="1" ht="12.75">
      <c r="A169" s="69">
        <v>3</v>
      </c>
      <c r="B169" s="23" t="s">
        <v>14</v>
      </c>
      <c r="C169" s="24">
        <f>SUM(C170:C172)</f>
        <v>2621230</v>
      </c>
      <c r="D169" s="24">
        <f>SUM(D170:D172)</f>
        <v>2640900</v>
      </c>
      <c r="E169" s="24">
        <f>SUM(E170:E172)</f>
        <v>2664900</v>
      </c>
      <c r="F169" s="36">
        <f t="shared" si="20"/>
        <v>100.75041106656035</v>
      </c>
      <c r="G169" s="36">
        <f t="shared" si="20"/>
        <v>100.90878109735317</v>
      </c>
    </row>
    <row r="170" spans="1:7" s="3" customFormat="1" ht="12.75">
      <c r="A170" s="70">
        <v>31</v>
      </c>
      <c r="B170" s="25" t="s">
        <v>23</v>
      </c>
      <c r="C170" s="4">
        <v>1581900</v>
      </c>
      <c r="D170" s="4">
        <v>1581900</v>
      </c>
      <c r="E170" s="4">
        <v>1581900</v>
      </c>
      <c r="F170" s="36">
        <f t="shared" si="20"/>
        <v>100</v>
      </c>
      <c r="G170" s="36">
        <f t="shared" si="20"/>
        <v>100</v>
      </c>
    </row>
    <row r="171" spans="1:7" s="3" customFormat="1" ht="12.75">
      <c r="A171" s="70">
        <v>32</v>
      </c>
      <c r="B171" s="25" t="s">
        <v>15</v>
      </c>
      <c r="C171" s="4">
        <f>862330+79000</f>
        <v>941330</v>
      </c>
      <c r="D171" s="26">
        <f>INT((C171*F171/100)/1000)*1000</f>
        <v>961000</v>
      </c>
      <c r="E171" s="26">
        <f>INT((D171*G171/100)/1000)*1000</f>
        <v>986000</v>
      </c>
      <c r="F171" s="37">
        <v>102.1</v>
      </c>
      <c r="G171" s="37">
        <v>102.7</v>
      </c>
    </row>
    <row r="172" spans="1:7" s="3" customFormat="1" ht="12.75">
      <c r="A172" s="70">
        <v>34</v>
      </c>
      <c r="B172" s="25" t="s">
        <v>24</v>
      </c>
      <c r="C172" s="4">
        <f>8000+90000</f>
        <v>98000</v>
      </c>
      <c r="D172" s="26">
        <f>INT((C172*F172/100)/1000)*1000</f>
        <v>98000</v>
      </c>
      <c r="E172" s="26">
        <f>INT((D172*G172/100)/1000)*1000</f>
        <v>97000</v>
      </c>
      <c r="F172" s="37">
        <v>100.1</v>
      </c>
      <c r="G172" s="37">
        <v>99.9</v>
      </c>
    </row>
    <row r="173" spans="1:7" s="2" customFormat="1" ht="25.5">
      <c r="A173" s="69">
        <v>4</v>
      </c>
      <c r="B173" s="23" t="s">
        <v>25</v>
      </c>
      <c r="C173" s="24">
        <f>+C174</f>
        <v>15000</v>
      </c>
      <c r="D173" s="24">
        <f>+D174</f>
        <v>15000</v>
      </c>
      <c r="E173" s="24">
        <f>+E174</f>
        <v>15000</v>
      </c>
      <c r="F173" s="36">
        <f>D173/C173*100</f>
        <v>100</v>
      </c>
      <c r="G173" s="36">
        <f>E173/D173*100</f>
        <v>100</v>
      </c>
    </row>
    <row r="174" spans="1:7" s="3" customFormat="1" ht="25.5">
      <c r="A174" s="70">
        <v>42</v>
      </c>
      <c r="B174" s="25" t="s">
        <v>26</v>
      </c>
      <c r="C174" s="4">
        <v>15000</v>
      </c>
      <c r="D174" s="26">
        <f>INT((C174*F174/100)/1000)*1000</f>
        <v>15000</v>
      </c>
      <c r="E174" s="26">
        <f>INT((D174*G174/100)/1000)*1000</f>
        <v>15000</v>
      </c>
      <c r="F174" s="37">
        <v>101</v>
      </c>
      <c r="G174" s="37">
        <v>101.5</v>
      </c>
    </row>
    <row r="175" spans="1:7" s="2" customFormat="1" ht="25.5">
      <c r="A175" s="69">
        <v>5</v>
      </c>
      <c r="B175" s="23" t="s">
        <v>35</v>
      </c>
      <c r="C175" s="24">
        <f>+C176</f>
        <v>812000</v>
      </c>
      <c r="D175" s="24">
        <f>+D176</f>
        <v>32000</v>
      </c>
      <c r="E175" s="24">
        <f>+E176</f>
        <v>0</v>
      </c>
      <c r="F175" s="36">
        <f aca="true" t="shared" si="21" ref="F175:G178">D175/C175*100</f>
        <v>3.9408866995073892</v>
      </c>
      <c r="G175" s="36">
        <f t="shared" si="21"/>
        <v>0</v>
      </c>
    </row>
    <row r="176" spans="1:7" s="3" customFormat="1" ht="15" customHeight="1">
      <c r="A176" s="70">
        <v>54</v>
      </c>
      <c r="B176" s="25" t="s">
        <v>90</v>
      </c>
      <c r="C176" s="4">
        <v>812000</v>
      </c>
      <c r="D176" s="26">
        <v>32000</v>
      </c>
      <c r="E176" s="26">
        <v>0</v>
      </c>
      <c r="F176" s="37">
        <f t="shared" si="21"/>
        <v>3.9408866995073892</v>
      </c>
      <c r="G176" s="37">
        <f t="shared" si="21"/>
        <v>0</v>
      </c>
    </row>
    <row r="177" spans="1:7" s="3" customFormat="1" ht="15" customHeight="1">
      <c r="A177" s="70"/>
      <c r="B177" s="25"/>
      <c r="C177" s="4"/>
      <c r="D177" s="26"/>
      <c r="E177" s="26"/>
      <c r="F177" s="37"/>
      <c r="G177" s="37"/>
    </row>
    <row r="178" spans="1:7" ht="26.25" customHeight="1">
      <c r="A178" s="23" t="s">
        <v>64</v>
      </c>
      <c r="B178" s="23" t="s">
        <v>65</v>
      </c>
      <c r="C178" s="24">
        <f aca="true" t="shared" si="22" ref="C178:E179">+C179</f>
        <v>739170</v>
      </c>
      <c r="D178" s="24">
        <f t="shared" si="22"/>
        <v>768000</v>
      </c>
      <c r="E178" s="24">
        <f t="shared" si="22"/>
        <v>810000</v>
      </c>
      <c r="F178" s="36">
        <f t="shared" si="21"/>
        <v>103.90032062989569</v>
      </c>
      <c r="G178" s="36">
        <f t="shared" si="21"/>
        <v>105.46875</v>
      </c>
    </row>
    <row r="179" spans="1:7" s="2" customFormat="1" ht="12.75">
      <c r="A179" s="69">
        <v>3</v>
      </c>
      <c r="B179" s="23" t="s">
        <v>14</v>
      </c>
      <c r="C179" s="24">
        <f t="shared" si="22"/>
        <v>739170</v>
      </c>
      <c r="D179" s="24">
        <f t="shared" si="22"/>
        <v>768000</v>
      </c>
      <c r="E179" s="24">
        <f t="shared" si="22"/>
        <v>810000</v>
      </c>
      <c r="F179" s="38">
        <v>100.3</v>
      </c>
      <c r="G179" s="38">
        <v>100.3</v>
      </c>
    </row>
    <row r="180" spans="1:7" s="3" customFormat="1" ht="12.75">
      <c r="A180" s="70">
        <v>38</v>
      </c>
      <c r="B180" s="25" t="s">
        <v>16</v>
      </c>
      <c r="C180" s="4">
        <v>739170</v>
      </c>
      <c r="D180" s="26">
        <f>INT((C180*F180/100)/1000)*1000</f>
        <v>768000</v>
      </c>
      <c r="E180" s="26">
        <f>INT((D180*G180/100)/1000)*1000</f>
        <v>810000</v>
      </c>
      <c r="F180" s="37">
        <v>104</v>
      </c>
      <c r="G180" s="37">
        <v>105.5</v>
      </c>
    </row>
    <row r="181" spans="1:7" ht="14.25" customHeight="1">
      <c r="A181" s="23" t="s">
        <v>66</v>
      </c>
      <c r="B181" s="23" t="s">
        <v>67</v>
      </c>
      <c r="C181" s="24">
        <f aca="true" t="shared" si="23" ref="C181:E182">+C182</f>
        <v>2550000</v>
      </c>
      <c r="D181" s="24">
        <f t="shared" si="23"/>
        <v>2651500</v>
      </c>
      <c r="E181" s="24">
        <f t="shared" si="23"/>
        <v>2796500</v>
      </c>
      <c r="F181" s="38">
        <v>101.7</v>
      </c>
      <c r="G181" s="38">
        <v>100.3</v>
      </c>
    </row>
    <row r="182" spans="1:7" s="2" customFormat="1" ht="12.75">
      <c r="A182" s="69">
        <v>3</v>
      </c>
      <c r="B182" s="23" t="s">
        <v>14</v>
      </c>
      <c r="C182" s="24">
        <f t="shared" si="23"/>
        <v>2550000</v>
      </c>
      <c r="D182" s="24">
        <f t="shared" si="23"/>
        <v>2651500</v>
      </c>
      <c r="E182" s="24">
        <f t="shared" si="23"/>
        <v>2796500</v>
      </c>
      <c r="F182" s="38">
        <v>101.7</v>
      </c>
      <c r="G182" s="38">
        <v>100.3</v>
      </c>
    </row>
    <row r="183" spans="1:7" s="3" customFormat="1" ht="12.75">
      <c r="A183" s="70">
        <v>38</v>
      </c>
      <c r="B183" s="25" t="s">
        <v>16</v>
      </c>
      <c r="C183" s="4">
        <f>2000000+550000</f>
        <v>2550000</v>
      </c>
      <c r="D183" s="26">
        <f>INT((C183*F183/100)/1000)*1000-500</f>
        <v>2651500</v>
      </c>
      <c r="E183" s="26">
        <f>INT((D183*G183/100)/1000)*1000-500</f>
        <v>2796500</v>
      </c>
      <c r="F183" s="37">
        <v>104</v>
      </c>
      <c r="G183" s="37">
        <v>105.5</v>
      </c>
    </row>
    <row r="184" spans="1:7" s="3" customFormat="1" ht="12.75">
      <c r="A184" s="70"/>
      <c r="B184" s="25"/>
      <c r="C184" s="4"/>
      <c r="D184" s="26"/>
      <c r="E184" s="26"/>
      <c r="F184" s="37"/>
      <c r="G184" s="37"/>
    </row>
    <row r="185" spans="1:7" s="1" customFormat="1" ht="25.5" customHeight="1">
      <c r="A185" s="23" t="s">
        <v>19</v>
      </c>
      <c r="B185" s="23" t="s">
        <v>68</v>
      </c>
      <c r="C185" s="24">
        <f>+C186</f>
        <v>9824000</v>
      </c>
      <c r="D185" s="24">
        <f>+D186</f>
        <v>9910000</v>
      </c>
      <c r="E185" s="24">
        <f>+E186</f>
        <v>9971000</v>
      </c>
      <c r="F185" s="36">
        <f>D185/C185*100</f>
        <v>100.87540716612378</v>
      </c>
      <c r="G185" s="36">
        <f>E185/D185*100</f>
        <v>100.61553985872855</v>
      </c>
    </row>
    <row r="186" spans="1:7" s="2" customFormat="1" ht="12.75">
      <c r="A186" s="69">
        <v>3</v>
      </c>
      <c r="B186" s="23" t="s">
        <v>14</v>
      </c>
      <c r="C186" s="24">
        <f>SUM(C187:C190)</f>
        <v>9824000</v>
      </c>
      <c r="D186" s="24">
        <f>SUM(D187:D190)</f>
        <v>9910000</v>
      </c>
      <c r="E186" s="24">
        <f>SUM(E187:E190)</f>
        <v>9971000</v>
      </c>
      <c r="F186" s="36">
        <f>D186/C186*100</f>
        <v>100.87540716612378</v>
      </c>
      <c r="G186" s="36">
        <f>E186/D186*100</f>
        <v>100.61553985872855</v>
      </c>
    </row>
    <row r="187" spans="1:7" s="3" customFormat="1" ht="12.75">
      <c r="A187" s="70">
        <v>32</v>
      </c>
      <c r="B187" s="25" t="s">
        <v>15</v>
      </c>
      <c r="C187" s="4">
        <v>4000</v>
      </c>
      <c r="D187" s="26">
        <f>INT((C187*F187/100)/1000)*1000</f>
        <v>4000</v>
      </c>
      <c r="E187" s="26">
        <f>INT((D187*G187/100)/1000)*1000</f>
        <v>4000</v>
      </c>
      <c r="F187" s="37">
        <v>102.1</v>
      </c>
      <c r="G187" s="37">
        <v>102.7</v>
      </c>
    </row>
    <row r="188" spans="1:7" s="3" customFormat="1" ht="24" customHeight="1">
      <c r="A188" s="70">
        <v>36</v>
      </c>
      <c r="B188" s="25" t="s">
        <v>34</v>
      </c>
      <c r="C188" s="4">
        <v>150000</v>
      </c>
      <c r="D188" s="26">
        <f>INT((C188*F188/100)/1000)*1000</f>
        <v>150000</v>
      </c>
      <c r="E188" s="26">
        <f>INT((D188*G188/100)/1000)*1000</f>
        <v>150000</v>
      </c>
      <c r="F188" s="37">
        <v>100</v>
      </c>
      <c r="G188" s="37">
        <v>100</v>
      </c>
    </row>
    <row r="189" spans="1:7" s="3" customFormat="1" ht="38.25">
      <c r="A189" s="70">
        <v>37</v>
      </c>
      <c r="B189" s="25" t="s">
        <v>46</v>
      </c>
      <c r="C189" s="4">
        <f>812000+2365000+300000+595000+830000+750000+360000+2877000</f>
        <v>8889000</v>
      </c>
      <c r="D189" s="26">
        <f>INT((C189*F189/100)/1000)*1000+38000</f>
        <v>8944000</v>
      </c>
      <c r="E189" s="26">
        <f>INT((D189*G189/100)/1000)*1000</f>
        <v>8961000</v>
      </c>
      <c r="F189" s="37">
        <v>100.2</v>
      </c>
      <c r="G189" s="37">
        <v>100.2</v>
      </c>
    </row>
    <row r="190" spans="1:7" s="3" customFormat="1" ht="12.75">
      <c r="A190" s="70">
        <v>38</v>
      </c>
      <c r="B190" s="25" t="s">
        <v>16</v>
      </c>
      <c r="C190" s="4">
        <f>656000+50000+15000+55000+5000</f>
        <v>781000</v>
      </c>
      <c r="D190" s="26">
        <f>INT((C190*F190/100)/1000)*1000</f>
        <v>812000</v>
      </c>
      <c r="E190" s="26">
        <f>INT((D190*G190/100)/1000)*1000</f>
        <v>856000</v>
      </c>
      <c r="F190" s="37">
        <v>104</v>
      </c>
      <c r="G190" s="37">
        <v>105.5</v>
      </c>
    </row>
    <row r="191" spans="1:7" s="3" customFormat="1" ht="12.75">
      <c r="A191" s="70"/>
      <c r="B191" s="25"/>
      <c r="C191" s="4"/>
      <c r="D191" s="26"/>
      <c r="E191" s="26"/>
      <c r="F191" s="37"/>
      <c r="G191" s="37"/>
    </row>
    <row r="192" spans="1:7" s="1" customFormat="1" ht="25.5" customHeight="1">
      <c r="A192" s="23" t="s">
        <v>29</v>
      </c>
      <c r="B192" s="23" t="s">
        <v>69</v>
      </c>
      <c r="C192" s="24">
        <f aca="true" t="shared" si="24" ref="C192:E193">+C193</f>
        <v>9190000</v>
      </c>
      <c r="D192" s="24">
        <f t="shared" si="24"/>
        <v>10337000</v>
      </c>
      <c r="E192" s="24">
        <f t="shared" si="24"/>
        <v>10905000</v>
      </c>
      <c r="F192" s="36">
        <f>D192/C192*100</f>
        <v>112.48095756256802</v>
      </c>
      <c r="G192" s="36">
        <f>E192/D192*100</f>
        <v>105.49482441714231</v>
      </c>
    </row>
    <row r="193" spans="1:7" s="2" customFormat="1" ht="12.75">
      <c r="A193" s="69">
        <v>3</v>
      </c>
      <c r="B193" s="23" t="s">
        <v>14</v>
      </c>
      <c r="C193" s="24">
        <f t="shared" si="24"/>
        <v>9190000</v>
      </c>
      <c r="D193" s="24">
        <f t="shared" si="24"/>
        <v>10337000</v>
      </c>
      <c r="E193" s="24">
        <f t="shared" si="24"/>
        <v>10905000</v>
      </c>
      <c r="F193" s="36">
        <f>D193/C193*100</f>
        <v>112.48095756256802</v>
      </c>
      <c r="G193" s="36">
        <f>E193/D193*100</f>
        <v>105.49482441714231</v>
      </c>
    </row>
    <row r="194" spans="1:7" s="3" customFormat="1" ht="12.75">
      <c r="A194" s="70">
        <v>38</v>
      </c>
      <c r="B194" s="25" t="s">
        <v>16</v>
      </c>
      <c r="C194" s="4">
        <v>9190000</v>
      </c>
      <c r="D194" s="26">
        <f>INT((C194*F194/100)/1000)*1000+780000</f>
        <v>10337000</v>
      </c>
      <c r="E194" s="26">
        <f>INT((D194*G194/100)/1000)*1000</f>
        <v>10905000</v>
      </c>
      <c r="F194" s="37">
        <v>104</v>
      </c>
      <c r="G194" s="37">
        <v>105.5</v>
      </c>
    </row>
    <row r="195" spans="1:7" s="3" customFormat="1" ht="12.75">
      <c r="A195" s="70"/>
      <c r="B195" s="25"/>
      <c r="C195" s="4"/>
      <c r="D195" s="26"/>
      <c r="E195" s="26"/>
      <c r="F195" s="37"/>
      <c r="G195" s="37"/>
    </row>
    <row r="196" spans="1:7" s="1" customFormat="1" ht="20.25" customHeight="1">
      <c r="A196" s="23" t="s">
        <v>44</v>
      </c>
      <c r="B196" s="23" t="s">
        <v>70</v>
      </c>
      <c r="C196" s="24">
        <f>+C197</f>
        <v>2244000</v>
      </c>
      <c r="D196" s="24">
        <f>+D197</f>
        <v>2332000</v>
      </c>
      <c r="E196" s="24">
        <f>+E197</f>
        <v>2458000</v>
      </c>
      <c r="F196" s="36">
        <f>D196/C196*100</f>
        <v>103.921568627451</v>
      </c>
      <c r="G196" s="36">
        <f>E196/D196*100</f>
        <v>105.40308747855917</v>
      </c>
    </row>
    <row r="197" spans="1:7" s="2" customFormat="1" ht="12.75">
      <c r="A197" s="69">
        <v>3</v>
      </c>
      <c r="B197" s="23" t="s">
        <v>14</v>
      </c>
      <c r="C197" s="24">
        <f>SUM(C198:C199)</f>
        <v>2244000</v>
      </c>
      <c r="D197" s="24">
        <f>SUM(D198:D199)</f>
        <v>2332000</v>
      </c>
      <c r="E197" s="24">
        <f>SUM(E198:E199)</f>
        <v>2458000</v>
      </c>
      <c r="F197" s="36">
        <f>D197/C197*100</f>
        <v>103.921568627451</v>
      </c>
      <c r="G197" s="36">
        <f>E197/D197*100</f>
        <v>105.40308747855917</v>
      </c>
    </row>
    <row r="198" spans="1:7" s="3" customFormat="1" ht="12.75">
      <c r="A198" s="70">
        <v>32</v>
      </c>
      <c r="B198" s="25" t="s">
        <v>15</v>
      </c>
      <c r="C198" s="4">
        <f>2000+20000+20000</f>
        <v>42000</v>
      </c>
      <c r="D198" s="26">
        <f>INT((C198*F198/100)/1000)*1000</f>
        <v>42000</v>
      </c>
      <c r="E198" s="26">
        <f>INT((D198*G198/100)/1000)*1000</f>
        <v>43000</v>
      </c>
      <c r="F198" s="37">
        <v>102.1</v>
      </c>
      <c r="G198" s="37">
        <v>102.7</v>
      </c>
    </row>
    <row r="199" spans="1:7" s="3" customFormat="1" ht="12.75">
      <c r="A199" s="70">
        <v>38</v>
      </c>
      <c r="B199" s="25" t="s">
        <v>16</v>
      </c>
      <c r="C199" s="4">
        <v>2202000</v>
      </c>
      <c r="D199" s="26">
        <f>INT((C199*F199/100)/1000)*1000</f>
        <v>2290000</v>
      </c>
      <c r="E199" s="26">
        <f>INT((D199*G199/100)/1000)*1000</f>
        <v>2415000</v>
      </c>
      <c r="F199" s="37">
        <v>104</v>
      </c>
      <c r="G199" s="37">
        <v>105.5</v>
      </c>
    </row>
    <row r="200" spans="1:7" s="3" customFormat="1" ht="13.5" thickBot="1">
      <c r="A200" s="84"/>
      <c r="B200" s="27"/>
      <c r="C200" s="28"/>
      <c r="D200" s="29"/>
      <c r="E200" s="29"/>
      <c r="F200" s="60"/>
      <c r="G200" s="60"/>
    </row>
    <row r="201" spans="1:7" s="1" customFormat="1" ht="33.75" customHeight="1" thickBot="1">
      <c r="A201" s="57" t="s">
        <v>71</v>
      </c>
      <c r="B201" s="57" t="s">
        <v>72</v>
      </c>
      <c r="C201" s="58">
        <f>+C203+C208+C213+C221</f>
        <v>15302000</v>
      </c>
      <c r="D201" s="58">
        <f>+D203+D208+D213+D221</f>
        <v>13355000</v>
      </c>
      <c r="E201" s="58">
        <f>+E203+E208+E213+E221</f>
        <v>14648000</v>
      </c>
      <c r="F201" s="59">
        <f aca="true" t="shared" si="25" ref="F201:G204">D201/C201*100</f>
        <v>87.2761730492746</v>
      </c>
      <c r="G201" s="59">
        <f t="shared" si="25"/>
        <v>109.68176712841633</v>
      </c>
    </row>
    <row r="202" spans="1:7" s="1" customFormat="1" ht="12.75" customHeight="1">
      <c r="A202" s="71"/>
      <c r="B202" s="71"/>
      <c r="C202" s="72"/>
      <c r="D202" s="72"/>
      <c r="E202" s="72"/>
      <c r="F202" s="73"/>
      <c r="G202" s="73"/>
    </row>
    <row r="203" spans="1:7" s="1" customFormat="1" ht="20.25" customHeight="1">
      <c r="A203" s="23" t="s">
        <v>12</v>
      </c>
      <c r="B203" s="23" t="s">
        <v>73</v>
      </c>
      <c r="C203" s="24">
        <f>+C204</f>
        <v>2940000</v>
      </c>
      <c r="D203" s="24">
        <f>+D204</f>
        <v>3010000</v>
      </c>
      <c r="E203" s="24">
        <f>+E204</f>
        <v>3103000</v>
      </c>
      <c r="F203" s="36">
        <f t="shared" si="25"/>
        <v>102.38095238095238</v>
      </c>
      <c r="G203" s="36">
        <f t="shared" si="25"/>
        <v>103.08970099667773</v>
      </c>
    </row>
    <row r="204" spans="1:7" s="2" customFormat="1" ht="12.75">
      <c r="A204" s="69">
        <v>3</v>
      </c>
      <c r="B204" s="23" t="s">
        <v>14</v>
      </c>
      <c r="C204" s="24">
        <f>SUM(C205:C206)</f>
        <v>2940000</v>
      </c>
      <c r="D204" s="24">
        <f>SUM(D205:D206)</f>
        <v>3010000</v>
      </c>
      <c r="E204" s="24">
        <f>SUM(E205:E206)</f>
        <v>3103000</v>
      </c>
      <c r="F204" s="36">
        <f t="shared" si="25"/>
        <v>102.38095238095238</v>
      </c>
      <c r="G204" s="36">
        <f t="shared" si="25"/>
        <v>103.08970099667773</v>
      </c>
    </row>
    <row r="205" spans="1:7" s="3" customFormat="1" ht="12.75">
      <c r="A205" s="70">
        <v>32</v>
      </c>
      <c r="B205" s="25" t="s">
        <v>15</v>
      </c>
      <c r="C205" s="4">
        <f>625000+65000+1800000</f>
        <v>2490000</v>
      </c>
      <c r="D205" s="26">
        <f>INT((C205*F205/100)/1000)*1000</f>
        <v>2542000</v>
      </c>
      <c r="E205" s="26">
        <f>INT((D205*G205/100)/1000)*1000</f>
        <v>2610000</v>
      </c>
      <c r="F205" s="37">
        <v>102.1</v>
      </c>
      <c r="G205" s="37">
        <v>102.7</v>
      </c>
    </row>
    <row r="206" spans="1:7" s="3" customFormat="1" ht="12.75">
      <c r="A206" s="70">
        <v>38</v>
      </c>
      <c r="B206" s="25" t="s">
        <v>16</v>
      </c>
      <c r="C206" s="4">
        <v>450000</v>
      </c>
      <c r="D206" s="26">
        <f>INT((C206*F206/100)/1000)*1000</f>
        <v>468000</v>
      </c>
      <c r="E206" s="26">
        <f>INT((D206*G206/100)/1000)*1000</f>
        <v>493000</v>
      </c>
      <c r="F206" s="37">
        <v>104</v>
      </c>
      <c r="G206" s="37">
        <v>105.5</v>
      </c>
    </row>
    <row r="207" spans="1:7" s="3" customFormat="1" ht="12.75">
      <c r="A207" s="70"/>
      <c r="B207" s="25"/>
      <c r="C207" s="4"/>
      <c r="D207" s="26"/>
      <c r="E207" s="26"/>
      <c r="F207" s="37"/>
      <c r="G207" s="37"/>
    </row>
    <row r="208" spans="1:7" s="1" customFormat="1" ht="24" customHeight="1">
      <c r="A208" s="23" t="s">
        <v>17</v>
      </c>
      <c r="B208" s="23" t="s">
        <v>74</v>
      </c>
      <c r="C208" s="24">
        <f>+C209</f>
        <v>1663000</v>
      </c>
      <c r="D208" s="24">
        <f>+D209</f>
        <v>1748000</v>
      </c>
      <c r="E208" s="24">
        <f>+E209</f>
        <v>1878000</v>
      </c>
      <c r="F208" s="36">
        <f>D208/C208*100</f>
        <v>105.11124473842453</v>
      </c>
      <c r="G208" s="36">
        <f>E208/D208*100</f>
        <v>107.4370709382151</v>
      </c>
    </row>
    <row r="209" spans="1:7" s="2" customFormat="1" ht="12.75">
      <c r="A209" s="69">
        <v>3</v>
      </c>
      <c r="B209" s="23" t="s">
        <v>14</v>
      </c>
      <c r="C209" s="24">
        <f>SUM(C210:C211)</f>
        <v>1663000</v>
      </c>
      <c r="D209" s="24">
        <f>SUM(D210:D211)</f>
        <v>1748000</v>
      </c>
      <c r="E209" s="24">
        <f>SUM(E210:E211)</f>
        <v>1878000</v>
      </c>
      <c r="F209" s="37">
        <v>100.3</v>
      </c>
      <c r="G209" s="37">
        <v>100.1</v>
      </c>
    </row>
    <row r="210" spans="1:7" s="3" customFormat="1" ht="12.75">
      <c r="A210" s="70">
        <v>35</v>
      </c>
      <c r="B210" s="25" t="s">
        <v>42</v>
      </c>
      <c r="C210" s="4">
        <f>1000000+600000</f>
        <v>1600000</v>
      </c>
      <c r="D210" s="26">
        <f>INT((C210*F210/100)/1000)*1000</f>
        <v>1683000</v>
      </c>
      <c r="E210" s="26">
        <f>INT((D210*G210/100)/1000)*1000</f>
        <v>1810000</v>
      </c>
      <c r="F210" s="37">
        <v>105.2</v>
      </c>
      <c r="G210" s="37">
        <v>107.6</v>
      </c>
    </row>
    <row r="211" spans="1:7" s="3" customFormat="1" ht="12.75">
      <c r="A211" s="70">
        <v>38</v>
      </c>
      <c r="B211" s="25" t="s">
        <v>16</v>
      </c>
      <c r="C211" s="4">
        <v>63000</v>
      </c>
      <c r="D211" s="26">
        <f>INT((C211*F211/100)/1000)*1000</f>
        <v>65000</v>
      </c>
      <c r="E211" s="26">
        <f>INT((D211*G211/100)/1000)*1000</f>
        <v>68000</v>
      </c>
      <c r="F211" s="37">
        <v>104</v>
      </c>
      <c r="G211" s="37">
        <v>105.5</v>
      </c>
    </row>
    <row r="212" spans="1:7" s="3" customFormat="1" ht="12.75">
      <c r="A212" s="70"/>
      <c r="B212" s="25"/>
      <c r="C212" s="4"/>
      <c r="D212" s="26"/>
      <c r="E212" s="26"/>
      <c r="F212" s="37"/>
      <c r="G212" s="37"/>
    </row>
    <row r="213" spans="1:7" ht="30.75" customHeight="1">
      <c r="A213" s="23" t="s">
        <v>19</v>
      </c>
      <c r="B213" s="23" t="s">
        <v>75</v>
      </c>
      <c r="C213" s="24">
        <f>+C214+C217</f>
        <v>5610000</v>
      </c>
      <c r="D213" s="24">
        <f>+D214+D217</f>
        <v>3933000</v>
      </c>
      <c r="E213" s="24">
        <f>+E214+E217</f>
        <v>5047000</v>
      </c>
      <c r="F213" s="36">
        <f>D213/C213*100</f>
        <v>70.10695187165776</v>
      </c>
      <c r="G213" s="36">
        <f>E213/D213*100</f>
        <v>128.324434274091</v>
      </c>
    </row>
    <row r="214" spans="1:7" s="2" customFormat="1" ht="15.75" customHeight="1">
      <c r="A214" s="69">
        <v>3</v>
      </c>
      <c r="B214" s="23" t="s">
        <v>14</v>
      </c>
      <c r="C214" s="24">
        <f>SUM(C215:C216)</f>
        <v>5465000</v>
      </c>
      <c r="D214" s="24">
        <f>SUM(D215:D216)</f>
        <v>3787000</v>
      </c>
      <c r="E214" s="24">
        <f>SUM(E215:E216)</f>
        <v>4900000</v>
      </c>
      <c r="F214" s="37">
        <v>101.4</v>
      </c>
      <c r="G214" s="37">
        <v>101.4</v>
      </c>
    </row>
    <row r="215" spans="1:7" s="3" customFormat="1" ht="17.25" customHeight="1">
      <c r="A215" s="70">
        <v>32</v>
      </c>
      <c r="B215" s="25" t="s">
        <v>15</v>
      </c>
      <c r="C215" s="4">
        <f>4915000+150000</f>
        <v>5065000</v>
      </c>
      <c r="D215" s="26">
        <f>INT((C215*F215/100)/1000)*1000-1800000</f>
        <v>3371000</v>
      </c>
      <c r="E215" s="26">
        <f>INT((D215*G215/100)/1000)*1000+1000000</f>
        <v>4462000</v>
      </c>
      <c r="F215" s="37">
        <v>102.1</v>
      </c>
      <c r="G215" s="37">
        <v>102.7</v>
      </c>
    </row>
    <row r="216" spans="1:7" s="3" customFormat="1" ht="16.5" customHeight="1">
      <c r="A216" s="70">
        <v>38</v>
      </c>
      <c r="B216" s="25" t="s">
        <v>16</v>
      </c>
      <c r="C216" s="4">
        <v>400000</v>
      </c>
      <c r="D216" s="26">
        <f>INT((C216*F216/100)/1000)*1000</f>
        <v>416000</v>
      </c>
      <c r="E216" s="26">
        <f>INT((D216*G216/100)/1000)*1000</f>
        <v>438000</v>
      </c>
      <c r="F216" s="37">
        <v>104</v>
      </c>
      <c r="G216" s="37">
        <v>105.5</v>
      </c>
    </row>
    <row r="217" spans="1:7" s="2" customFormat="1" ht="25.5">
      <c r="A217" s="69">
        <v>4</v>
      </c>
      <c r="B217" s="23" t="s">
        <v>25</v>
      </c>
      <c r="C217" s="24">
        <f>SUM(C218:C219)</f>
        <v>145000</v>
      </c>
      <c r="D217" s="24">
        <f>SUM(D218:D219)</f>
        <v>146000</v>
      </c>
      <c r="E217" s="24">
        <f>SUM(E218:E219)</f>
        <v>147000</v>
      </c>
      <c r="F217" s="36">
        <f>D217/C217*100</f>
        <v>100.6896551724138</v>
      </c>
      <c r="G217" s="36">
        <f>E217/D217*100</f>
        <v>100.68493150684932</v>
      </c>
    </row>
    <row r="218" spans="1:7" s="3" customFormat="1" ht="25.5">
      <c r="A218" s="70">
        <v>42</v>
      </c>
      <c r="B218" s="25" t="s">
        <v>26</v>
      </c>
      <c r="C218" s="4">
        <v>140000</v>
      </c>
      <c r="D218" s="26">
        <f>INT((C218*F218/100)/1000)*1000</f>
        <v>141000</v>
      </c>
      <c r="E218" s="26">
        <f>INT((D218*G218/100)/1000)*1000</f>
        <v>142000</v>
      </c>
      <c r="F218" s="37">
        <v>101</v>
      </c>
      <c r="G218" s="37">
        <v>101</v>
      </c>
    </row>
    <row r="219" spans="1:7" s="3" customFormat="1" ht="38.25">
      <c r="A219" s="70">
        <v>43</v>
      </c>
      <c r="B219" s="25" t="s">
        <v>76</v>
      </c>
      <c r="C219" s="4">
        <v>5000</v>
      </c>
      <c r="D219" s="26">
        <f>INT((C219*F219/100)/1000)*1000</f>
        <v>5000</v>
      </c>
      <c r="E219" s="26">
        <f>INT((D219*G219/100)/1000)*1000</f>
        <v>5000</v>
      </c>
      <c r="F219" s="37">
        <v>101</v>
      </c>
      <c r="G219" s="37">
        <v>100.1</v>
      </c>
    </row>
    <row r="220" spans="1:7" s="3" customFormat="1" ht="12.75">
      <c r="A220" s="70"/>
      <c r="B220" s="25"/>
      <c r="C220" s="4"/>
      <c r="D220" s="26"/>
      <c r="E220" s="26"/>
      <c r="F220" s="37"/>
      <c r="G220" s="37"/>
    </row>
    <row r="221" spans="1:7" ht="29.25" customHeight="1">
      <c r="A221" s="23" t="s">
        <v>29</v>
      </c>
      <c r="B221" s="23" t="s">
        <v>77</v>
      </c>
      <c r="C221" s="24">
        <f>+C222+C225</f>
        <v>5089000</v>
      </c>
      <c r="D221" s="24">
        <f>+D222+D225</f>
        <v>4664000</v>
      </c>
      <c r="E221" s="24">
        <f>+E222+E225</f>
        <v>4620000</v>
      </c>
      <c r="F221" s="36">
        <f>D221/C221*100</f>
        <v>91.64865395952053</v>
      </c>
      <c r="G221" s="36">
        <f>E221/D221*100</f>
        <v>99.05660377358491</v>
      </c>
    </row>
    <row r="222" spans="1:7" s="2" customFormat="1" ht="12.75">
      <c r="A222" s="69">
        <v>3</v>
      </c>
      <c r="B222" s="23" t="s">
        <v>14</v>
      </c>
      <c r="C222" s="24">
        <f>SUM(C223:C224)</f>
        <v>1005000</v>
      </c>
      <c r="D222" s="24">
        <f>SUM(D223:D224)</f>
        <v>1027000</v>
      </c>
      <c r="E222" s="24">
        <f>SUM(E223:E224)</f>
        <v>1055000</v>
      </c>
      <c r="F222" s="36">
        <f>D222/C222*100</f>
        <v>102.18905472636817</v>
      </c>
      <c r="G222" s="36">
        <f>E222/D222*100</f>
        <v>102.72638753651411</v>
      </c>
    </row>
    <row r="223" spans="1:7" s="3" customFormat="1" ht="12.75">
      <c r="A223" s="70">
        <v>32</v>
      </c>
      <c r="B223" s="25" t="s">
        <v>15</v>
      </c>
      <c r="C223" s="4">
        <v>955000</v>
      </c>
      <c r="D223" s="26">
        <f>INT((C223*F223/100)/1000)*1000</f>
        <v>975000</v>
      </c>
      <c r="E223" s="26">
        <f>INT((D223*G223/100)/1000)*1000</f>
        <v>1001000</v>
      </c>
      <c r="F223" s="37">
        <v>102.1</v>
      </c>
      <c r="G223" s="37">
        <v>102.7</v>
      </c>
    </row>
    <row r="224" spans="1:7" s="3" customFormat="1" ht="12.75">
      <c r="A224" s="70">
        <v>38</v>
      </c>
      <c r="B224" s="25" t="s">
        <v>16</v>
      </c>
      <c r="C224" s="4">
        <v>50000</v>
      </c>
      <c r="D224" s="26">
        <f>INT((C224*F224/100)/1000)*1000</f>
        <v>52000</v>
      </c>
      <c r="E224" s="26">
        <f>INT((D224*G224/100)/1000)*1000</f>
        <v>54000</v>
      </c>
      <c r="F224" s="37">
        <v>104</v>
      </c>
      <c r="G224" s="37">
        <v>105.5</v>
      </c>
    </row>
    <row r="225" spans="1:7" s="2" customFormat="1" ht="25.5">
      <c r="A225" s="69">
        <v>4</v>
      </c>
      <c r="B225" s="23" t="s">
        <v>25</v>
      </c>
      <c r="C225" s="24">
        <f>SUM(C226:C227)</f>
        <v>4084000</v>
      </c>
      <c r="D225" s="24">
        <f>SUM(D226:D227)</f>
        <v>3637000</v>
      </c>
      <c r="E225" s="24">
        <f>SUM(E226:E227)</f>
        <v>3565000</v>
      </c>
      <c r="F225" s="36">
        <f aca="true" t="shared" si="26" ref="F225:G227">D225/C225*100</f>
        <v>89.05484818805093</v>
      </c>
      <c r="G225" s="36">
        <f t="shared" si="26"/>
        <v>98.02034643937311</v>
      </c>
    </row>
    <row r="226" spans="1:7" s="3" customFormat="1" ht="38.25">
      <c r="A226" s="70">
        <v>41</v>
      </c>
      <c r="B226" s="25" t="s">
        <v>89</v>
      </c>
      <c r="C226" s="4">
        <v>3864000</v>
      </c>
      <c r="D226" s="26">
        <f>3266000+151000</f>
        <v>3417000</v>
      </c>
      <c r="E226" s="26">
        <f>3202000+143000</f>
        <v>3345000</v>
      </c>
      <c r="F226" s="37">
        <f t="shared" si="26"/>
        <v>88.43167701863354</v>
      </c>
      <c r="G226" s="37">
        <f t="shared" si="26"/>
        <v>97.89288849868305</v>
      </c>
    </row>
    <row r="227" spans="1:7" s="3" customFormat="1" ht="25.5">
      <c r="A227" s="85">
        <v>42</v>
      </c>
      <c r="B227" s="67" t="s">
        <v>26</v>
      </c>
      <c r="C227" s="68">
        <v>220000</v>
      </c>
      <c r="D227" s="68">
        <v>220000</v>
      </c>
      <c r="E227" s="68">
        <v>220000</v>
      </c>
      <c r="F227" s="35">
        <f t="shared" si="26"/>
        <v>100</v>
      </c>
      <c r="G227" s="35">
        <f t="shared" si="26"/>
        <v>100</v>
      </c>
    </row>
  </sheetData>
  <sheetProtection/>
  <mergeCells count="1">
    <mergeCell ref="A19:B19"/>
  </mergeCells>
  <printOptions/>
  <pageMargins left="0.6" right="0.29" top="1" bottom="1" header="0.5" footer="0.5"/>
  <pageSetup horizontalDpi="600" verticalDpi="600" orientation="portrait" paperSize="9" scale="95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Dragica Jakšić-Grijak</dc:creator>
  <cp:keywords/>
  <dc:description/>
  <cp:lastModifiedBy>maja</cp:lastModifiedBy>
  <cp:lastPrinted>2010-12-15T09:04:45Z</cp:lastPrinted>
  <dcterms:created xsi:type="dcterms:W3CDTF">2010-07-01T09:18:21Z</dcterms:created>
  <dcterms:modified xsi:type="dcterms:W3CDTF">2010-12-17T07:28:40Z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